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10" yWindow="15" windowWidth="28605" windowHeight="1257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Math'!$D$8:$I$8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Math'!$L$24:$L$30</definedName>
    <definedName name="LSIN">'Background Math'!$M$24:$M$30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<sst xmlns="http://schemas.openxmlformats.org/spreadsheetml/2006/main" count="59" uniqueCount="45">
  <si>
    <t>OUTPUT</t>
  </si>
  <si>
    <t>Enter Base Fuel Pressure (psid)</t>
  </si>
  <si>
    <t># for Error</t>
  </si>
  <si>
    <t>Pressure (error handling)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</si>
  <si>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</si>
  <si>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</si>
  <si>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</si>
  <si>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</si>
  <si>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</si>
  <si>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</si>
  <si>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</si>
  <si>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</si>
  <si>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</si>
  <si>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</si>
  <si>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</si>
  <si>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</si>
  <si>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</si>
  <si>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</si>
  <si>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</si>
  <si>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</si>
  <si>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</si>
  <si>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</si>
  <si>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</si>
  <si>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</si>
  <si>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</si>
  <si>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</si>
  <si>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</si>
  <si>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</si>
  <si>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</si>
  <si>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</si>
  <si>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</si>
  <si>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</si>
  <si>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</si>
  <si>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</si>
  <si>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</si>
  <si>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</si>
  <si>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</si>
  <si>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</si>
  <si>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</si>
  <si>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Rounding</t>
  </si>
  <si>
    <t>N/A</t>
  </si>
  <si>
    <t>Old ECU</t>
  </si>
  <si>
    <t>Fuel Injector Latency (Fixed Break Points)</t>
  </si>
  <si>
    <t>* 29 to 101.5 psid</t>
  </si>
  <si>
    <t>Initial Release - PY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</si>
</sst>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0"/>
    </font>
    <font>
      <sz val="11"/>
      <color indexed="9"/>
      <name val="Eras Demi ITC"/>
      <family val="0"/>
    </font>
    <font>
      <b/>
      <sz val="11"/>
      <color indexed="10"/>
      <name val="Calibri"/>
      <family val="2"/>
    </font>
    <font>
      <b/>
      <i/>
      <vertAlign val="superscript"/>
      <sz val="32"/>
      <color indexed="9"/>
      <name val="Eras Demi IT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5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5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5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5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6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7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0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2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4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5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4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7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1" fillId="56" borderId="0" xfId="258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258" applyNumberFormat="1" applyFont="1" applyBorder="1" applyAlignment="1" applyProtection="1">
      <alignment/>
      <protection hidden="1"/>
    </xf>
    <xf numFmtId="2" fontId="63" fillId="56" borderId="20" xfId="258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4" fillId="56" borderId="0" xfId="0" applyFont="1" applyFill="1" applyAlignment="1">
      <alignment horizontal="left" vertical="center"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/>
    </xf>
    <xf numFmtId="0" fontId="67" fillId="56" borderId="0" xfId="0" applyFont="1" applyFill="1" applyAlignment="1">
      <alignment horizontal="left" vertical="center"/>
    </xf>
    <xf numFmtId="1" fontId="65" fillId="56" borderId="0" xfId="0" applyNumberFormat="1" applyFont="1" applyFill="1" applyBorder="1" applyAlignment="1">
      <alignment horizontal="center" vertical="center"/>
    </xf>
    <xf numFmtId="165" fontId="65" fillId="56" borderId="0" xfId="0" applyNumberFormat="1" applyFont="1" applyFill="1" applyBorder="1" applyAlignment="1">
      <alignment horizontal="center" vertical="center"/>
    </xf>
    <xf numFmtId="0" fontId="0" fillId="0" borderId="0" xfId="241">
      <alignment/>
      <protection/>
    </xf>
    <xf numFmtId="0" fontId="23" fillId="0" borderId="0" xfId="241" applyFont="1" applyProtection="1">
      <alignment/>
      <protection hidden="1"/>
    </xf>
    <xf numFmtId="0" fontId="22" fillId="0" borderId="0" xfId="241" applyFont="1" applyProtection="1">
      <alignment/>
      <protection hidden="1"/>
    </xf>
    <xf numFmtId="0" fontId="64" fillId="56" borderId="0" xfId="0" applyFont="1" applyFill="1" applyBorder="1" applyAlignment="1">
      <alignment horizontal="left" vertical="center"/>
    </xf>
    <xf numFmtId="0" fontId="65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69" fillId="0" borderId="0" xfId="241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241" applyFont="1" applyBorder="1" applyAlignment="1" applyProtection="1">
      <alignment horizontal="center"/>
      <protection hidden="1"/>
    </xf>
    <xf numFmtId="0" fontId="70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4" fillId="56" borderId="0" xfId="0" applyFont="1" applyFill="1" applyBorder="1" applyAlignment="1">
      <alignment horizontal="center" vertical="center"/>
    </xf>
    <xf numFmtId="170" fontId="65" fillId="56" borderId="0" xfId="0" applyNumberFormat="1" applyFont="1" applyFill="1" applyBorder="1" applyAlignment="1" applyProtection="1">
      <alignment horizontal="center" vertical="center"/>
      <protection hidden="1"/>
    </xf>
    <xf numFmtId="164" fontId="65" fillId="56" borderId="0" xfId="0" applyNumberFormat="1" applyFont="1" applyFill="1" applyBorder="1" applyAlignment="1">
      <alignment horizontal="center" vertical="center"/>
    </xf>
    <xf numFmtId="2" fontId="65" fillId="56" borderId="0" xfId="0" applyNumberFormat="1" applyFont="1" applyFill="1" applyBorder="1" applyAlignment="1" applyProtection="1">
      <alignment horizontal="center" vertical="center"/>
      <protection hidden="1"/>
    </xf>
    <xf numFmtId="2" fontId="65" fillId="56" borderId="0" xfId="0" applyNumberFormat="1" applyFont="1" applyFill="1" applyBorder="1" applyAlignment="1">
      <alignment horizontal="center" vertical="center"/>
    </xf>
    <xf numFmtId="0" fontId="64" fillId="56" borderId="0" xfId="0" applyFont="1" applyFill="1" applyBorder="1" applyAlignment="1">
      <alignment/>
    </xf>
    <xf numFmtId="165" fontId="69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4" fillId="56" borderId="0" xfId="0" applyFont="1" applyFill="1" applyBorder="1" applyAlignment="1">
      <alignment horizontal="center"/>
    </xf>
    <xf numFmtId="0" fontId="64" fillId="56" borderId="0" xfId="0" applyFont="1" applyFill="1" applyAlignment="1">
      <alignment horizontal="right"/>
    </xf>
    <xf numFmtId="0" fontId="64" fillId="56" borderId="0" xfId="0" applyFont="1" applyFill="1" applyAlignment="1">
      <alignment/>
    </xf>
    <xf numFmtId="2" fontId="65" fillId="56" borderId="2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" fontId="22" fillId="0" borderId="0" xfId="258" applyNumberFormat="1" applyFont="1" applyBorder="1" applyAlignment="1" applyProtection="1">
      <alignment/>
      <protection hidden="1"/>
    </xf>
    <xf numFmtId="164" fontId="23" fillId="0" borderId="33" xfId="0" applyNumberFormat="1" applyFont="1" applyBorder="1" applyAlignment="1" applyProtection="1">
      <alignment horizontal="center"/>
      <protection hidden="1"/>
    </xf>
    <xf numFmtId="164" fontId="23" fillId="0" borderId="34" xfId="0" applyNumberFormat="1" applyFont="1" applyBorder="1" applyAlignment="1" applyProtection="1">
      <alignment horizontal="center"/>
      <protection hidden="1"/>
    </xf>
    <xf numFmtId="1" fontId="63" fillId="56" borderId="20" xfId="259" applyNumberFormat="1" applyFont="1" applyFill="1" applyBorder="1" applyAlignment="1" applyProtection="1">
      <alignment horizontal="center" vertical="center"/>
      <protection locked="0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165" fontId="23" fillId="0" borderId="36" xfId="0" applyNumberFormat="1" applyFont="1" applyFill="1" applyBorder="1" applyAlignment="1" applyProtection="1">
      <alignment horizontal="center" vertical="center"/>
      <protection hidden="1"/>
    </xf>
    <xf numFmtId="165" fontId="23" fillId="0" borderId="37" xfId="0" applyNumberFormat="1" applyFont="1" applyFill="1" applyBorder="1" applyAlignment="1" applyProtection="1">
      <alignment horizontal="center" vertical="center"/>
      <protection hidden="1"/>
    </xf>
    <xf numFmtId="165" fontId="23" fillId="0" borderId="38" xfId="0" applyNumberFormat="1" applyFont="1" applyFill="1" applyBorder="1" applyAlignment="1" applyProtection="1">
      <alignment horizontal="center" vertical="center"/>
      <protection hidden="1"/>
    </xf>
    <xf numFmtId="165" fontId="23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36" fillId="0" borderId="39" xfId="0" applyNumberFormat="1" applyFont="1" applyFill="1" applyBorder="1" applyAlignment="1">
      <alignment horizontal="center"/>
    </xf>
    <xf numFmtId="1" fontId="36" fillId="0" borderId="41" xfId="0" applyNumberFormat="1" applyFont="1" applyFill="1" applyBorder="1" applyAlignment="1">
      <alignment horizontal="center"/>
    </xf>
    <xf numFmtId="1" fontId="36" fillId="0" borderId="42" xfId="0" applyNumberFormat="1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0" fontId="72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6" fontId="23" fillId="0" borderId="0" xfId="0" applyNumberFormat="1" applyFont="1" applyBorder="1" applyAlignment="1" applyProtection="1">
      <alignment/>
      <protection hidden="1"/>
    </xf>
    <xf numFmtId="164" fontId="65" fillId="56" borderId="20" xfId="0" applyNumberFormat="1" applyFont="1" applyFill="1" applyBorder="1" applyAlignment="1" applyProtection="1">
      <alignment horizontal="center" vertical="center"/>
      <protection hidden="1"/>
    </xf>
    <xf numFmtId="166" fontId="65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4" fillId="56" borderId="0" xfId="0" applyFont="1" applyFill="1" applyBorder="1" applyAlignment="1" applyProtection="1">
      <alignment horizontal="left" vertical="center"/>
      <protection hidden="1"/>
    </xf>
    <xf numFmtId="0" fontId="65" fillId="56" borderId="0" xfId="0" applyFont="1" applyFill="1" applyBorder="1" applyAlignment="1" applyProtection="1">
      <alignment/>
      <protection hidden="1"/>
    </xf>
    <xf numFmtId="164" fontId="65" fillId="56" borderId="0" xfId="0" applyNumberFormat="1" applyFont="1" applyFill="1" applyBorder="1" applyAlignment="1" applyProtection="1">
      <alignment horizontal="center" vertical="center"/>
      <protection hidden="1"/>
    </xf>
    <xf numFmtId="165" fontId="65" fillId="56" borderId="0" xfId="0" applyNumberFormat="1" applyFont="1" applyFill="1" applyBorder="1" applyAlignment="1" applyProtection="1">
      <alignment horizontal="center" vertical="center"/>
      <protection hidden="1"/>
    </xf>
    <xf numFmtId="0" fontId="64" fillId="56" borderId="0" xfId="0" applyFont="1" applyFill="1" applyAlignment="1" applyProtection="1">
      <alignment/>
      <protection hidden="1"/>
    </xf>
    <xf numFmtId="2" fontId="65" fillId="56" borderId="20" xfId="0" applyNumberFormat="1" applyFont="1" applyFill="1" applyBorder="1" applyAlignment="1" applyProtection="1">
      <alignment horizontal="center"/>
      <protection hidden="1"/>
    </xf>
    <xf numFmtId="1" fontId="65" fillId="56" borderId="0" xfId="0" applyNumberFormat="1" applyFont="1" applyFill="1" applyBorder="1" applyAlignment="1" applyProtection="1">
      <alignment horizontal="center" vertical="center"/>
      <protection hidden="1"/>
    </xf>
    <xf numFmtId="1" fontId="65" fillId="56" borderId="20" xfId="0" applyNumberFormat="1" applyFont="1" applyFill="1" applyBorder="1" applyAlignment="1" applyProtection="1">
      <alignment horizontal="center"/>
      <protection hidden="1"/>
    </xf>
    <xf numFmtId="0" fontId="64" fillId="56" borderId="0" xfId="0" applyFont="1" applyFill="1" applyBorder="1" applyAlignment="1" applyProtection="1">
      <alignment horizontal="center" vertical="center"/>
      <protection hidden="1"/>
    </xf>
    <xf numFmtId="164" fontId="65" fillId="56" borderId="20" xfId="0" applyNumberFormat="1" applyFont="1" applyFill="1" applyBorder="1" applyAlignment="1" applyProtection="1">
      <alignment horizontal="center"/>
      <protection hidden="1"/>
    </xf>
    <xf numFmtId="0" fontId="65" fillId="56" borderId="20" xfId="0" applyFont="1" applyFill="1" applyBorder="1" applyAlignment="1" applyProtection="1">
      <alignment horizontal="center"/>
      <protection hidden="1"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26" xfId="0" applyNumberFormat="1" applyFont="1" applyFill="1" applyBorder="1" applyAlignment="1" applyProtection="1">
      <alignment horizontal="center" vertical="center"/>
      <protection hidden="1"/>
    </xf>
    <xf numFmtId="165" fontId="23" fillId="0" borderId="25" xfId="0" applyNumberFormat="1" applyFont="1" applyFill="1" applyBorder="1" applyAlignment="1" applyProtection="1">
      <alignment horizontal="center" vertical="center"/>
      <protection hidden="1"/>
    </xf>
    <xf numFmtId="165" fontId="23" fillId="0" borderId="27" xfId="0" applyNumberFormat="1" applyFont="1" applyBorder="1" applyAlignment="1" applyProtection="1">
      <alignment horizontal="center"/>
      <protection hidden="1"/>
    </xf>
    <xf numFmtId="165" fontId="23" fillId="0" borderId="21" xfId="0" applyNumberFormat="1" applyFont="1" applyBorder="1" applyAlignment="1" applyProtection="1">
      <alignment horizontal="center"/>
      <protection hidden="1"/>
    </xf>
    <xf numFmtId="164" fontId="23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57" borderId="35" xfId="0" applyFont="1" applyFill="1" applyBorder="1" applyAlignment="1">
      <alignment/>
    </xf>
    <xf numFmtId="0" fontId="0" fillId="57" borderId="36" xfId="0" applyFill="1" applyBorder="1" applyAlignment="1">
      <alignment/>
    </xf>
    <xf numFmtId="0" fontId="0" fillId="57" borderId="37" xfId="0" applyFill="1" applyBorder="1" applyAlignment="1">
      <alignment/>
    </xf>
    <xf numFmtId="0" fontId="73" fillId="56" borderId="0" xfId="0" applyFont="1" applyFill="1" applyAlignment="1">
      <alignment horizontal="center"/>
    </xf>
    <xf numFmtId="164" fontId="23" fillId="0" borderId="32" xfId="0" applyNumberFormat="1" applyFont="1" applyFill="1" applyBorder="1" applyAlignment="1" applyProtection="1">
      <alignment horizontal="center" vertical="center"/>
      <protection hidden="1"/>
    </xf>
    <xf numFmtId="164" fontId="23" fillId="0" borderId="38" xfId="0" applyNumberFormat="1" applyFont="1" applyBorder="1" applyAlignment="1" applyProtection="1">
      <alignment horizontal="center"/>
      <protection hidden="1"/>
    </xf>
    <xf numFmtId="164" fontId="23" fillId="0" borderId="38" xfId="0" applyNumberFormat="1" applyFont="1" applyFill="1" applyBorder="1" applyAlignment="1" applyProtection="1">
      <alignment horizontal="center"/>
      <protection hidden="1"/>
    </xf>
    <xf numFmtId="164" fontId="23" fillId="0" borderId="39" xfId="0" applyNumberFormat="1" applyFont="1" applyBorder="1" applyAlignment="1" applyProtection="1">
      <alignment horizontal="center"/>
      <protection hidden="1"/>
    </xf>
    <xf numFmtId="164" fontId="23" fillId="0" borderId="43" xfId="0" applyNumberFormat="1" applyFont="1" applyFill="1" applyBorder="1" applyAlignment="1" applyProtection="1">
      <alignment horizontal="center" vertic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64" fontId="23" fillId="0" borderId="0" xfId="0" applyNumberFormat="1" applyFont="1" applyAlignment="1">
      <alignment horizontal="center"/>
    </xf>
    <xf numFmtId="164" fontId="23" fillId="0" borderId="44" xfId="0" applyNumberFormat="1" applyFont="1" applyBorder="1" applyAlignment="1" applyProtection="1">
      <alignment horizontal="center"/>
      <protection hidden="1"/>
    </xf>
    <xf numFmtId="164" fontId="23" fillId="0" borderId="45" xfId="0" applyNumberFormat="1" applyFont="1" applyBorder="1" applyAlignment="1" applyProtection="1">
      <alignment horizontal="center"/>
      <protection hidden="1"/>
    </xf>
    <xf numFmtId="164" fontId="23" fillId="0" borderId="42" xfId="0" applyNumberFormat="1" applyFont="1" applyFill="1" applyBorder="1" applyAlignment="1" applyProtection="1">
      <alignment horizontal="center"/>
      <protection hidden="1"/>
    </xf>
    <xf numFmtId="166" fontId="25" fillId="0" borderId="32" xfId="0" applyNumberFormat="1" applyFont="1" applyBorder="1" applyAlignment="1">
      <alignment horizontal="center"/>
    </xf>
    <xf numFmtId="166" fontId="25" fillId="0" borderId="43" xfId="0" applyNumberFormat="1" applyFont="1" applyBorder="1" applyAlignment="1">
      <alignment horizontal="center"/>
    </xf>
    <xf numFmtId="166" fontId="25" fillId="0" borderId="44" xfId="0" applyNumberFormat="1" applyFont="1" applyBorder="1" applyAlignment="1">
      <alignment horizontal="center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dxfs count="6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ID1300x</a:t>
          </a:r>
          <a:r>
            <a:rPr lang="en-US" cap="none" sz="3200" b="1" i="1" u="none" baseline="3000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2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2017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Latency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Some older ECUs disallow altering breakpoints, for these instances use the Fuel Injector Latency (Fixed Break Points) table.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ID1300x</a:t>
          </a:r>
          <a:r>
            <a:rPr lang="en-US" cap="none" sz="3200" b="1" i="1" u="none" baseline="3000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2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2017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N97" sqref="N97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38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1"/>
      <c r="B14" s="13"/>
      <c r="C14" s="14"/>
      <c r="D14" s="12"/>
      <c r="E14" s="11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11"/>
      <c r="B17" s="12"/>
      <c r="C17" s="12"/>
      <c r="D17" s="12"/>
      <c r="E17" s="11"/>
      <c r="F17" s="11"/>
      <c r="G17" s="12"/>
      <c r="H17" s="15"/>
      <c r="I17" s="11"/>
      <c r="J17" s="11"/>
      <c r="K17" s="11"/>
      <c r="L17" s="12"/>
      <c r="M17" s="15"/>
      <c r="N17" s="11"/>
      <c r="O17" s="11"/>
      <c r="P17" s="11"/>
      <c r="Q17" s="12"/>
      <c r="R17" s="11"/>
      <c r="S17" s="11"/>
      <c r="T17" s="11"/>
      <c r="U17" s="11"/>
      <c r="V17" s="11"/>
    </row>
    <row r="18" spans="1:22" ht="15">
      <c r="A18" s="11"/>
      <c r="B18" s="12"/>
      <c r="C18" s="12"/>
      <c r="D18" s="12"/>
      <c r="E18" s="4"/>
      <c r="F18" s="11"/>
      <c r="G18" s="16"/>
      <c r="H18" s="3"/>
      <c r="I18" s="11"/>
      <c r="J18" s="11"/>
      <c r="K18" s="11"/>
      <c r="L18" s="16"/>
      <c r="M18" s="3"/>
      <c r="N18" s="11"/>
      <c r="O18" s="11"/>
      <c r="P18" s="11"/>
      <c r="Q18" s="2"/>
      <c r="R18" s="16"/>
      <c r="S18" s="11"/>
      <c r="T18" s="11"/>
      <c r="U18" s="11"/>
      <c r="V18" s="11"/>
    </row>
    <row r="19" spans="1:22" ht="15">
      <c r="A19" s="11"/>
      <c r="B19" s="12"/>
      <c r="C19" s="12"/>
      <c r="D19" s="12"/>
      <c r="E19" s="4"/>
      <c r="F19" s="11"/>
      <c r="G19" s="16"/>
      <c r="H19" s="3"/>
      <c r="I19" s="11"/>
      <c r="J19" s="11"/>
      <c r="K19" s="11"/>
      <c r="L19" s="16"/>
      <c r="M19" s="3"/>
      <c r="N19" s="11"/>
      <c r="O19" s="11"/>
      <c r="P19" s="11"/>
      <c r="Q19" s="2"/>
      <c r="R19" s="16"/>
      <c r="S19" s="11"/>
      <c r="T19" s="11"/>
      <c r="U19" s="11"/>
      <c r="V19" s="11"/>
    </row>
    <row r="20" spans="1:22" ht="15">
      <c r="A20" s="11"/>
      <c r="B20" s="12"/>
      <c r="C20" s="12"/>
      <c r="D20" s="12"/>
      <c r="E20" s="4"/>
      <c r="F20" s="11"/>
      <c r="G20" s="16"/>
      <c r="H20" s="3"/>
      <c r="I20" s="11"/>
      <c r="J20" s="11"/>
      <c r="K20" s="11"/>
      <c r="L20" s="16"/>
      <c r="M20" s="3"/>
      <c r="N20" s="11"/>
      <c r="O20" s="11"/>
      <c r="P20" s="11"/>
      <c r="Q20" s="2"/>
      <c r="R20" s="16"/>
      <c r="S20" s="11"/>
      <c r="T20" s="11"/>
      <c r="U20" s="11"/>
      <c r="V20" s="11"/>
    </row>
    <row r="21" spans="1:22" ht="15">
      <c r="A21" s="11"/>
      <c r="B21" s="12"/>
      <c r="C21" s="12"/>
      <c r="D21" s="12"/>
      <c r="E21" s="4"/>
      <c r="F21" s="11"/>
      <c r="G21" s="16"/>
      <c r="H21" s="3"/>
      <c r="I21" s="11"/>
      <c r="J21" s="11"/>
      <c r="K21" s="11"/>
      <c r="L21" s="16"/>
      <c r="M21" s="3"/>
      <c r="N21" s="11"/>
      <c r="O21" s="11"/>
      <c r="P21" s="11"/>
      <c r="Q21" s="2"/>
      <c r="R21" s="16"/>
      <c r="S21" s="11"/>
      <c r="T21" s="11"/>
      <c r="U21" s="11"/>
      <c r="V21" s="11"/>
    </row>
    <row r="22" spans="1:22" ht="15">
      <c r="A22" s="11"/>
      <c r="B22" s="12"/>
      <c r="C22" s="11"/>
      <c r="D22" s="11"/>
      <c r="E22" s="17"/>
      <c r="F22" s="11"/>
      <c r="G22" s="16"/>
      <c r="H22" s="3"/>
      <c r="I22" s="11"/>
      <c r="J22" s="11"/>
      <c r="K22" s="11"/>
      <c r="L22" s="16"/>
      <c r="M22" s="3"/>
      <c r="N22" s="11"/>
      <c r="O22" s="11"/>
      <c r="P22" s="11"/>
      <c r="Q22" s="2"/>
      <c r="R22" s="16"/>
      <c r="S22" s="11"/>
      <c r="T22" s="11"/>
      <c r="U22" s="11"/>
      <c r="V22" s="11"/>
    </row>
    <row r="23" spans="1:22" ht="15">
      <c r="A23" s="11"/>
      <c r="B23" s="11"/>
      <c r="C23" s="11"/>
      <c r="D23" s="11"/>
      <c r="E23" s="11"/>
      <c r="F23" s="11"/>
      <c r="G23" s="16"/>
      <c r="H23" s="3"/>
      <c r="I23" s="11"/>
      <c r="J23" s="11"/>
      <c r="K23" s="11"/>
      <c r="L23" s="16"/>
      <c r="M23" s="3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>
      <c r="A24" s="11"/>
      <c r="B24" s="11"/>
      <c r="C24" s="11"/>
      <c r="D24" s="11"/>
      <c r="E24" s="11"/>
      <c r="F24" s="11"/>
      <c r="G24" s="2"/>
      <c r="H24" s="3"/>
      <c r="I24" s="11"/>
      <c r="J24" s="11"/>
      <c r="K24" s="11"/>
      <c r="L24" s="2"/>
      <c r="M24" s="3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1"/>
      <c r="B26" s="12"/>
      <c r="C26" s="15"/>
      <c r="D26" s="11"/>
      <c r="E26" s="11"/>
      <c r="F26" s="11"/>
      <c r="G26" s="12"/>
      <c r="H26" s="15"/>
      <c r="I26" s="11"/>
      <c r="J26" s="11"/>
      <c r="K26" s="11"/>
      <c r="L26" s="12"/>
      <c r="M26" s="15"/>
      <c r="N26" s="11"/>
      <c r="O26" s="11"/>
      <c r="P26" s="11"/>
      <c r="Q26" s="12"/>
      <c r="R26" s="11"/>
      <c r="S26" s="11"/>
      <c r="T26" s="11"/>
      <c r="U26" s="11"/>
      <c r="V26" s="11"/>
    </row>
    <row r="27" spans="1:22" ht="15">
      <c r="A27" s="11"/>
      <c r="B27" s="17"/>
      <c r="C27" s="4"/>
      <c r="D27" s="11"/>
      <c r="E27" s="11"/>
      <c r="F27" s="11"/>
      <c r="G27" s="16"/>
      <c r="H27" s="3"/>
      <c r="I27" s="11"/>
      <c r="J27" s="11"/>
      <c r="K27" s="11"/>
      <c r="L27" s="16"/>
      <c r="M27" s="3"/>
      <c r="N27" s="11"/>
      <c r="O27" s="11"/>
      <c r="P27" s="11"/>
      <c r="Q27" s="2"/>
      <c r="R27" s="16"/>
      <c r="S27" s="11"/>
      <c r="T27" s="11"/>
      <c r="U27" s="11"/>
      <c r="V27" s="11"/>
    </row>
    <row r="28" spans="1:22" ht="15">
      <c r="A28" s="11"/>
      <c r="B28" s="17"/>
      <c r="C28" s="4"/>
      <c r="D28" s="11"/>
      <c r="E28" s="11"/>
      <c r="F28" s="11"/>
      <c r="G28" s="16"/>
      <c r="H28" s="3"/>
      <c r="I28" s="11"/>
      <c r="J28" s="11"/>
      <c r="K28" s="11"/>
      <c r="L28" s="16"/>
      <c r="M28" s="3"/>
      <c r="N28" s="11"/>
      <c r="O28" s="11"/>
      <c r="P28" s="11"/>
      <c r="Q28" s="2"/>
      <c r="R28" s="16"/>
      <c r="S28" s="11"/>
      <c r="T28" s="11"/>
      <c r="U28" s="11"/>
      <c r="V28" s="11"/>
    </row>
    <row r="29" spans="1:22" ht="15">
      <c r="A29" s="11"/>
      <c r="B29" s="17"/>
      <c r="C29" s="4"/>
      <c r="D29" s="11"/>
      <c r="E29" s="11"/>
      <c r="F29" s="11"/>
      <c r="G29" s="16"/>
      <c r="H29" s="3"/>
      <c r="I29" s="11"/>
      <c r="J29" s="11"/>
      <c r="K29" s="11"/>
      <c r="L29" s="16"/>
      <c r="M29" s="3"/>
      <c r="N29" s="11"/>
      <c r="O29" s="11"/>
      <c r="P29" s="11"/>
      <c r="Q29" s="2"/>
      <c r="R29" s="16"/>
      <c r="S29" s="11"/>
      <c r="T29" s="11"/>
      <c r="U29" s="11"/>
      <c r="V29" s="11"/>
    </row>
    <row r="30" spans="1:22" ht="15">
      <c r="A30" s="11"/>
      <c r="B30" s="17"/>
      <c r="C30" s="4"/>
      <c r="D30" s="11"/>
      <c r="E30" s="11"/>
      <c r="F30" s="11"/>
      <c r="G30" s="16"/>
      <c r="H30" s="3"/>
      <c r="I30" s="11"/>
      <c r="J30" s="11"/>
      <c r="K30" s="11"/>
      <c r="L30" s="16"/>
      <c r="M30" s="3"/>
      <c r="N30" s="11"/>
      <c r="O30" s="11"/>
      <c r="P30" s="11"/>
      <c r="Q30" s="2"/>
      <c r="R30" s="16"/>
      <c r="S30" s="11"/>
      <c r="T30" s="11"/>
      <c r="U30" s="11"/>
      <c r="V30" s="11"/>
    </row>
    <row r="31" spans="1:22" ht="15">
      <c r="A31" s="11"/>
      <c r="B31" s="17"/>
      <c r="C31" s="4"/>
      <c r="D31" s="11"/>
      <c r="E31" s="11"/>
      <c r="F31" s="11"/>
      <c r="G31" s="16"/>
      <c r="H31" s="3"/>
      <c r="I31" s="11"/>
      <c r="J31" s="11"/>
      <c r="K31" s="11"/>
      <c r="L31" s="16"/>
      <c r="M31" s="3"/>
      <c r="N31" s="11"/>
      <c r="O31" s="11"/>
      <c r="P31" s="11"/>
      <c r="Q31" s="2"/>
      <c r="R31" s="16"/>
      <c r="S31" s="11"/>
      <c r="T31" s="11"/>
      <c r="U31" s="11"/>
      <c r="V31" s="11"/>
    </row>
    <row r="32" spans="1:22" ht="15">
      <c r="A32" s="11"/>
      <c r="B32" s="17"/>
      <c r="C32" s="4"/>
      <c r="D32" s="11"/>
      <c r="E32" s="11"/>
      <c r="F32" s="11"/>
      <c r="G32" s="16"/>
      <c r="H32" s="3"/>
      <c r="I32" s="11"/>
      <c r="J32" s="11"/>
      <c r="K32" s="11"/>
      <c r="L32" s="16"/>
      <c r="M32" s="3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7"/>
      <c r="C33" s="4"/>
      <c r="D33" s="11"/>
      <c r="E33" s="11"/>
      <c r="F33" s="11"/>
      <c r="G33" s="11"/>
      <c r="H33" s="11"/>
      <c r="I33" s="11"/>
      <c r="J33" s="11"/>
      <c r="K33" s="11"/>
      <c r="L33" s="16"/>
      <c r="M33" s="3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/>
      <c r="B34" s="17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7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/>
      <c r="B36" s="17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8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7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7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</sheetData>
  <sheetProtection password="C979" sheet="1"/>
  <conditionalFormatting sqref="E22">
    <cfRule type="containsText" priority="1" dxfId="5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F88" sqref="F88"/>
    </sheetView>
  </sheetViews>
  <sheetFormatPr defaultColWidth="9.140625" defaultRowHeight="12.75"/>
  <cols>
    <col min="1" max="4" width="9.140625" style="30" customWidth="1"/>
    <col min="5" max="6" width="9.7109375" style="30" bestFit="1" customWidth="1"/>
    <col min="7" max="9" width="9.140625" style="30" customWidth="1"/>
    <col min="10" max="10" width="8.00390625" style="30" bestFit="1" customWidth="1"/>
    <col min="11" max="11" width="9.57421875" style="30" bestFit="1" customWidth="1"/>
    <col min="12" max="14" width="9.140625" style="30" customWidth="1"/>
    <col min="15" max="15" width="10.7109375" style="30" customWidth="1"/>
    <col min="16" max="16384" width="9.140625" style="3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1" t="s">
        <v>23</v>
      </c>
      <c r="D13" s="32"/>
      <c r="F13" s="31" t="s">
        <v>1</v>
      </c>
      <c r="G13" s="32"/>
      <c r="J13" s="155">
        <f>IF(FPX&lt;'Background Math'!D8,"** FUEL PRESSURE MUST BE BETWEEN 29 AND 90 PSID **",IF(FPX&gt;'Background Math'!I8,"** FUEL PRESSURE MUST BE BETWEEN 29 AND 101.5 PSID **",""))</f>
      </c>
      <c r="K13" s="155"/>
      <c r="L13" s="155"/>
      <c r="M13" s="155"/>
      <c r="N13" s="155"/>
      <c r="O13" s="155"/>
    </row>
    <row r="14" spans="3:15" ht="15">
      <c r="C14" s="98">
        <v>10</v>
      </c>
      <c r="D14" s="32"/>
      <c r="E14" s="33"/>
      <c r="F14" s="29">
        <v>43.5</v>
      </c>
      <c r="G14" s="34" t="s">
        <v>43</v>
      </c>
      <c r="J14" s="155">
        <f>IF(ETH&lt;0,"** ETHANOL CONTENT MUST BE BETWEEN 0 AND 100 **",IF(ETH&gt;100,"** ETHANOL CONTENT MUST BE BETWEEN 0 AND 100 **",""))</f>
      </c>
      <c r="K14" s="155"/>
      <c r="L14" s="155"/>
      <c r="M14" s="155"/>
      <c r="N14" s="155"/>
      <c r="O14" s="155"/>
    </row>
    <row r="15" spans="2:20" ht="15">
      <c r="B15" s="32"/>
      <c r="C15" s="32"/>
      <c r="D15" s="32"/>
      <c r="E15" s="32"/>
      <c r="F15" s="32"/>
      <c r="G15" s="32"/>
      <c r="H15" s="32"/>
      <c r="I15" s="32"/>
      <c r="J15" s="155">
        <f>IF('Background Math'!Q23="N/A","** DOES NOT OPEN AT SPECIFIED VOLTAGE &amp; PRESSURE **","")</f>
      </c>
      <c r="K15" s="155"/>
      <c r="L15" s="155"/>
      <c r="M15" s="155"/>
      <c r="N15" s="155"/>
      <c r="O15" s="155"/>
      <c r="P15" s="33"/>
      <c r="Q15" s="33"/>
      <c r="R15" s="33"/>
      <c r="S15" s="32"/>
      <c r="T15" s="32"/>
    </row>
    <row r="16" spans="3:20" ht="15">
      <c r="C16" s="85" t="s">
        <v>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ht="15">
      <c r="B17" s="83" t="s">
        <v>4</v>
      </c>
      <c r="C17" s="132">
        <f>'Background Math'!C10</f>
        <v>0.38</v>
      </c>
      <c r="D17" s="132">
        <f>'Background Math'!C11</f>
        <v>0.5104752501553558</v>
      </c>
      <c r="E17" s="132">
        <f>'Background Math'!C12</f>
        <v>0.6857499500557186</v>
      </c>
      <c r="F17" s="132">
        <f>'Background Math'!C13</f>
        <v>0.9212062560492518</v>
      </c>
      <c r="G17" s="132">
        <f>'Background Math'!C14</f>
        <v>1.2375078789511067</v>
      </c>
      <c r="H17" s="132">
        <f>'Background Math'!C15</f>
        <v>1.662413537044184</v>
      </c>
      <c r="I17" s="132">
        <f>'Background Math'!C16</f>
        <v>2.233213068905999</v>
      </c>
      <c r="J17" s="132">
        <f>'Background Math'!C17</f>
        <v>2.9999999999999987</v>
      </c>
      <c r="K17" s="41"/>
      <c r="L17" s="40"/>
      <c r="M17" s="70"/>
      <c r="N17" s="41"/>
      <c r="O17" s="41"/>
      <c r="P17" s="41"/>
      <c r="Q17" s="40"/>
      <c r="R17" s="41"/>
      <c r="S17" s="41"/>
      <c r="T17" s="41"/>
    </row>
    <row r="18" spans="2:20" ht="15">
      <c r="B18" s="83" t="s">
        <v>5</v>
      </c>
      <c r="C18" s="133">
        <f>'Background Math'!N10</f>
        <v>-45.3</v>
      </c>
      <c r="D18" s="133">
        <f>'Background Math'!N11</f>
        <v>-30.5</v>
      </c>
      <c r="E18" s="133">
        <f>'Background Math'!N12</f>
        <v>-15.6</v>
      </c>
      <c r="F18" s="133">
        <f>'Background Math'!N13</f>
        <v>-11.7</v>
      </c>
      <c r="G18" s="133">
        <f>'Background Math'!N14</f>
        <v>-6.3</v>
      </c>
      <c r="H18" s="133">
        <f>'Background Math'!N15</f>
        <v>-2.3</v>
      </c>
      <c r="I18" s="133">
        <f>'Background Math'!N16</f>
        <v>-0.8</v>
      </c>
      <c r="J18" s="133">
        <f>'Background Math'!N17</f>
        <v>0</v>
      </c>
      <c r="K18" s="41"/>
      <c r="R18" s="72"/>
      <c r="S18" s="41"/>
      <c r="T18" s="41"/>
    </row>
    <row r="19" spans="3:20" ht="15">
      <c r="C19" s="134"/>
      <c r="D19" s="135"/>
      <c r="E19" s="71"/>
      <c r="F19" s="136"/>
      <c r="G19" s="137"/>
      <c r="H19" s="138"/>
      <c r="I19" s="136"/>
      <c r="J19" s="136"/>
      <c r="K19" s="41"/>
      <c r="L19" s="72"/>
      <c r="M19" s="36"/>
      <c r="O19" s="41"/>
      <c r="P19" s="41"/>
      <c r="Q19" s="35"/>
      <c r="R19" s="72"/>
      <c r="S19" s="41"/>
      <c r="T19" s="41"/>
    </row>
    <row r="20" spans="3:20" ht="15">
      <c r="C20" s="139" t="s">
        <v>7</v>
      </c>
      <c r="D20" s="135"/>
      <c r="E20" s="71"/>
      <c r="F20" s="136"/>
      <c r="G20" s="137"/>
      <c r="H20" s="138"/>
      <c r="J20" s="139" t="s">
        <v>42</v>
      </c>
      <c r="K20" s="135"/>
      <c r="L20" s="71"/>
      <c r="M20" s="136"/>
      <c r="N20" s="137"/>
      <c r="O20" s="41"/>
      <c r="P20" s="41"/>
      <c r="Q20" s="35"/>
      <c r="R20" s="72"/>
      <c r="S20" s="41"/>
      <c r="T20" s="41"/>
    </row>
    <row r="21" spans="2:20" ht="15">
      <c r="B21" s="84" t="s">
        <v>16</v>
      </c>
      <c r="C21" s="140">
        <v>8</v>
      </c>
      <c r="D21" s="86">
        <v>10</v>
      </c>
      <c r="E21" s="86">
        <v>12</v>
      </c>
      <c r="F21" s="140">
        <v>14</v>
      </c>
      <c r="G21" s="86">
        <v>16</v>
      </c>
      <c r="H21" s="138"/>
      <c r="I21" s="84" t="s">
        <v>16</v>
      </c>
      <c r="J21" s="140">
        <v>6.5</v>
      </c>
      <c r="K21" s="86">
        <v>9</v>
      </c>
      <c r="L21" s="86">
        <v>11.5</v>
      </c>
      <c r="M21" s="140">
        <v>14</v>
      </c>
      <c r="N21" s="86">
        <v>16.5</v>
      </c>
      <c r="O21" s="41"/>
      <c r="P21" s="41"/>
      <c r="Q21" s="35"/>
      <c r="R21" s="72"/>
      <c r="S21" s="41"/>
      <c r="T21" s="41"/>
    </row>
    <row r="22" spans="2:20" ht="15">
      <c r="B22" s="84" t="s">
        <v>8</v>
      </c>
      <c r="C22" s="140">
        <f>'Background Math'!Q23</f>
        <v>2.2315690341724297</v>
      </c>
      <c r="D22" s="140">
        <f>'Background Math'!R23</f>
        <v>1.6092311874435186</v>
      </c>
      <c r="E22" s="140">
        <f>'Background Math'!S23</f>
        <v>1.256385478113509</v>
      </c>
      <c r="F22" s="140">
        <f>'Background Math'!T23</f>
        <v>1.033004634819684</v>
      </c>
      <c r="G22" s="140">
        <f>'Background Math'!U23</f>
        <v>0.8655821039343251</v>
      </c>
      <c r="H22" s="138"/>
      <c r="I22" s="84" t="s">
        <v>8</v>
      </c>
      <c r="J22" s="140">
        <f>'Background Math'!Q27</f>
        <v>2.8751766343871417</v>
      </c>
      <c r="K22" s="140">
        <f>'Background Math'!R27</f>
        <v>1.8867135936331116</v>
      </c>
      <c r="L22" s="140">
        <f>'Background Math'!S27</f>
        <v>1.3291776850825556</v>
      </c>
      <c r="M22" s="140">
        <f>'Background Math'!T27</f>
        <v>1.033004634819684</v>
      </c>
      <c r="N22" s="140">
        <f>'Background Math'!U27</f>
        <v>0.8324699575268082</v>
      </c>
      <c r="O22" s="41"/>
      <c r="P22" s="41"/>
      <c r="Q22" s="35"/>
      <c r="R22" s="72"/>
      <c r="S22" s="41"/>
      <c r="T22" s="41"/>
    </row>
    <row r="23" spans="3:20" ht="15">
      <c r="C23" s="134"/>
      <c r="D23" s="135"/>
      <c r="E23" s="73"/>
      <c r="F23" s="136"/>
      <c r="G23" s="137"/>
      <c r="H23" s="138"/>
      <c r="I23" s="136"/>
      <c r="J23" s="136"/>
      <c r="K23" s="41"/>
      <c r="L23" s="72"/>
      <c r="M23" s="36"/>
      <c r="N23" s="41"/>
      <c r="O23" s="41"/>
      <c r="P23" s="41"/>
      <c r="Q23" s="41"/>
      <c r="R23" s="41"/>
      <c r="S23" s="41"/>
      <c r="T23" s="41"/>
    </row>
    <row r="24" spans="2:20" ht="15">
      <c r="B24" s="32"/>
      <c r="C24" s="139" t="s">
        <v>9</v>
      </c>
      <c r="D24" s="136"/>
      <c r="E24" s="136"/>
      <c r="F24" s="136"/>
      <c r="G24" s="141"/>
      <c r="H24" s="138"/>
      <c r="I24" s="136"/>
      <c r="J24" s="136"/>
      <c r="K24" s="41"/>
      <c r="L24" s="35"/>
      <c r="M24" s="36"/>
      <c r="N24" s="41"/>
      <c r="O24" s="41"/>
      <c r="P24" s="41"/>
      <c r="Q24" s="41"/>
      <c r="R24" s="41"/>
      <c r="S24" s="41"/>
      <c r="T24" s="41"/>
    </row>
    <row r="25" spans="2:20" ht="15">
      <c r="B25" s="75" t="s">
        <v>10</v>
      </c>
      <c r="C25" s="142">
        <f>IF(ETH&gt;100,"ERROR",IF(ETH&lt;0,"ERROR",'Background Math'!L33))</f>
        <v>2137.1942897965696</v>
      </c>
      <c r="D25" s="136"/>
      <c r="E25" s="136"/>
      <c r="F25" s="136"/>
      <c r="G25" s="136"/>
      <c r="H25" s="136"/>
      <c r="I25" s="136"/>
      <c r="J25" s="136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2:20" ht="15">
      <c r="B26" s="40"/>
      <c r="C26" s="143"/>
      <c r="D26" s="136"/>
      <c r="E26" s="136"/>
      <c r="F26" s="136"/>
      <c r="G26" s="135"/>
      <c r="H26" s="143"/>
      <c r="I26" s="136"/>
      <c r="J26" s="136"/>
      <c r="K26" s="41"/>
      <c r="L26" s="40"/>
      <c r="M26" s="70"/>
      <c r="N26" s="41"/>
      <c r="O26" s="41"/>
      <c r="P26" s="41"/>
      <c r="Q26" s="40"/>
      <c r="R26" s="41"/>
      <c r="S26" s="41"/>
      <c r="T26" s="41"/>
    </row>
    <row r="27" spans="2:20" ht="15">
      <c r="B27" s="74"/>
      <c r="C27" s="139" t="s">
        <v>11</v>
      </c>
      <c r="D27" s="136"/>
      <c r="E27" s="136"/>
      <c r="F27" s="136"/>
      <c r="G27" s="137"/>
      <c r="H27" s="138"/>
      <c r="I27" s="136"/>
      <c r="J27" s="136"/>
      <c r="K27" s="41"/>
      <c r="L27" s="72"/>
      <c r="M27" s="36"/>
      <c r="N27" s="41"/>
      <c r="O27" s="41"/>
      <c r="P27" s="41"/>
      <c r="Q27" s="35"/>
      <c r="R27" s="72"/>
      <c r="S27" s="41"/>
      <c r="T27" s="41"/>
    </row>
    <row r="28" spans="2:20" ht="15">
      <c r="B28" s="87" t="s">
        <v>13</v>
      </c>
      <c r="C28" s="144">
        <f>C17</f>
        <v>0.38</v>
      </c>
      <c r="D28" s="136"/>
      <c r="E28" s="136"/>
      <c r="F28" s="136"/>
      <c r="G28" s="137"/>
      <c r="H28" s="138"/>
      <c r="I28" s="136"/>
      <c r="J28" s="136"/>
      <c r="K28" s="41"/>
      <c r="L28" s="72"/>
      <c r="M28" s="36"/>
      <c r="N28" s="41"/>
      <c r="O28" s="41"/>
      <c r="P28" s="41"/>
      <c r="Q28" s="35"/>
      <c r="R28" s="72"/>
      <c r="S28" s="41"/>
      <c r="T28" s="41"/>
    </row>
    <row r="29" spans="2:20" ht="15">
      <c r="B29" s="74"/>
      <c r="C29" s="71"/>
      <c r="D29" s="136"/>
      <c r="E29" s="136"/>
      <c r="F29" s="136"/>
      <c r="G29" s="137"/>
      <c r="H29" s="138"/>
      <c r="I29" s="136"/>
      <c r="J29" s="136"/>
      <c r="K29" s="41"/>
      <c r="L29" s="72"/>
      <c r="M29" s="36"/>
      <c r="N29" s="41"/>
      <c r="O29" s="41"/>
      <c r="P29" s="41"/>
      <c r="Q29" s="35"/>
      <c r="R29" s="72"/>
      <c r="S29" s="41"/>
      <c r="T29" s="41"/>
    </row>
    <row r="30" spans="2:20" ht="15">
      <c r="B30" s="74"/>
      <c r="C30" s="139" t="s">
        <v>12</v>
      </c>
      <c r="D30" s="136"/>
      <c r="E30" s="136"/>
      <c r="F30" s="136"/>
      <c r="G30" s="137"/>
      <c r="H30" s="138"/>
      <c r="I30" s="136"/>
      <c r="J30" s="136"/>
      <c r="K30" s="41"/>
      <c r="L30" s="72"/>
      <c r="M30" s="36"/>
      <c r="N30" s="41"/>
      <c r="O30" s="41"/>
      <c r="P30" s="41"/>
      <c r="Q30" s="35"/>
      <c r="R30" s="72"/>
      <c r="S30" s="41"/>
      <c r="T30" s="41"/>
    </row>
    <row r="31" spans="2:20" ht="15">
      <c r="B31" s="87" t="s">
        <v>13</v>
      </c>
      <c r="C31" s="144">
        <f>J17</f>
        <v>2.9999999999999987</v>
      </c>
      <c r="D31" s="136"/>
      <c r="E31" s="136"/>
      <c r="F31" s="136"/>
      <c r="G31" s="137"/>
      <c r="H31" s="138"/>
      <c r="I31" s="136"/>
      <c r="J31" s="136"/>
      <c r="K31" s="41"/>
      <c r="L31" s="72"/>
      <c r="M31" s="36"/>
      <c r="N31" s="41"/>
      <c r="O31" s="41"/>
      <c r="P31" s="41"/>
      <c r="Q31" s="35"/>
      <c r="R31" s="72"/>
      <c r="S31" s="41"/>
      <c r="T31" s="41"/>
    </row>
    <row r="32" spans="2:20" ht="15">
      <c r="B32" s="74"/>
      <c r="C32" s="71"/>
      <c r="D32" s="136"/>
      <c r="E32" s="136"/>
      <c r="F32" s="136"/>
      <c r="G32" s="137"/>
      <c r="H32" s="138"/>
      <c r="I32" s="136"/>
      <c r="J32" s="136"/>
      <c r="K32" s="41"/>
      <c r="L32" s="72"/>
      <c r="M32" s="36"/>
      <c r="N32" s="41"/>
      <c r="O32" s="41"/>
      <c r="P32" s="41"/>
      <c r="Q32" s="41"/>
      <c r="R32" s="41"/>
      <c r="S32" s="41"/>
      <c r="T32" s="41"/>
    </row>
    <row r="33" spans="2:20" ht="15">
      <c r="B33" s="74"/>
      <c r="C33" s="139" t="s">
        <v>14</v>
      </c>
      <c r="D33" s="136"/>
      <c r="E33" s="136"/>
      <c r="F33" s="136"/>
      <c r="G33" s="136"/>
      <c r="H33" s="136"/>
      <c r="I33" s="136"/>
      <c r="J33" s="136"/>
      <c r="K33" s="41"/>
      <c r="L33" s="72"/>
      <c r="M33" s="36"/>
      <c r="N33" s="41"/>
      <c r="O33" s="41"/>
      <c r="P33" s="41"/>
      <c r="Q33" s="41"/>
      <c r="R33" s="41"/>
      <c r="S33" s="41"/>
      <c r="T33" s="41"/>
    </row>
    <row r="34" spans="2:20" ht="15">
      <c r="B34" s="87" t="s">
        <v>15</v>
      </c>
      <c r="C34" s="145">
        <v>10000</v>
      </c>
      <c r="D34" s="136"/>
      <c r="E34" s="136"/>
      <c r="F34" s="136"/>
      <c r="G34" s="136"/>
      <c r="H34" s="136"/>
      <c r="I34" s="136"/>
      <c r="J34" s="136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2:20" ht="15">
      <c r="B35" s="74"/>
      <c r="C35" s="7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2:20" ht="15">
      <c r="B36" s="74"/>
      <c r="C36" s="71"/>
      <c r="D36" s="41"/>
      <c r="E36" s="41"/>
      <c r="F36" s="41"/>
      <c r="G36" s="41"/>
      <c r="H36" s="41"/>
      <c r="I36" s="41"/>
      <c r="J36" s="41"/>
      <c r="K36" s="41"/>
      <c r="L36" s="41"/>
      <c r="M36" s="75"/>
      <c r="N36" s="41"/>
      <c r="O36" s="41"/>
      <c r="P36" s="41"/>
      <c r="Q36" s="41"/>
      <c r="R36" s="41"/>
      <c r="S36" s="41"/>
      <c r="T36" s="41"/>
    </row>
    <row r="37" spans="2:20" ht="15">
      <c r="B37" s="74"/>
      <c r="C37" s="7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2:20" ht="15">
      <c r="B38" s="74"/>
      <c r="C38" s="7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</sheetData>
  <sheetProtection password="C979" sheet="1"/>
  <mergeCells count="3">
    <mergeCell ref="J14:O14"/>
    <mergeCell ref="J13:O13"/>
    <mergeCell ref="J15:O15"/>
  </mergeCells>
  <conditionalFormatting sqref="J14:O14">
    <cfRule type="containsText" priority="7" dxfId="0" operator="containsText" stopIfTrue="1" text="ETHANOL">
      <formula>NOT(ISERROR(SEARCH("ETHANOL",J14)))</formula>
    </cfRule>
  </conditionalFormatting>
  <conditionalFormatting sqref="J13:O13">
    <cfRule type="containsText" priority="5" dxfId="0" operator="containsText" stopIfTrue="1" text="FUEL">
      <formula>NOT(ISERROR(SEARCH("FUEL",J13)))</formula>
    </cfRule>
  </conditionalFormatting>
  <conditionalFormatting sqref="J15:O15">
    <cfRule type="containsText" priority="3" dxfId="0" operator="containsText" stopIfTrue="1" text="NOT">
      <formula>NOT(ISERROR(SEARCH("NOT",J15)))</formula>
    </cfRule>
  </conditionalFormatting>
  <conditionalFormatting sqref="C22 D22">
    <cfRule type="containsText" priority="2" dxfId="0" operator="containsText" stopIfTrue="1" text="N/A">
      <formula>NOT(ISERROR(SEARCH("N/A",C22)))</formula>
    </cfRule>
  </conditionalFormatting>
  <conditionalFormatting sqref="J22:K22">
    <cfRule type="containsText" priority="1" dxfId="0" operator="containsText" stopIfTrue="1" text="N/A">
      <formula>NOT(ISERROR(SEARCH("N/A",J22)))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2"/>
  <sheetViews>
    <sheetView zoomScalePageLayoutView="0" workbookViewId="0" topLeftCell="A1">
      <selection activeCell="J94" sqref="J94"/>
    </sheetView>
  </sheetViews>
  <sheetFormatPr defaultColWidth="9.140625" defaultRowHeight="12.75"/>
  <cols>
    <col min="1" max="1" width="2.57421875" style="124" customWidth="1"/>
    <col min="2" max="2" width="10.140625" style="124" bestFit="1" customWidth="1"/>
    <col min="3" max="16384" width="9.140625" style="124" customWidth="1"/>
  </cols>
  <sheetData>
    <row r="1" ht="12.75">
      <c r="A1" s="123" t="s">
        <v>38</v>
      </c>
    </row>
    <row r="2" spans="2:9" ht="12.75">
      <c r="B2" s="125">
        <v>43096</v>
      </c>
      <c r="C2" s="152" t="s">
        <v>44</v>
      </c>
      <c r="D2" s="153"/>
      <c r="E2" s="153"/>
      <c r="F2" s="153"/>
      <c r="G2" s="153"/>
      <c r="H2" s="153"/>
      <c r="I2" s="154"/>
    </row>
  </sheetData>
  <sheetProtection password="C979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Y24" sqref="Y24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0"/>
      <c r="C3" s="28"/>
      <c r="D3" s="19"/>
      <c r="E3" s="39" t="s">
        <v>37</v>
      </c>
      <c r="F3" s="37"/>
      <c r="G3" s="38"/>
      <c r="H3" s="38"/>
      <c r="I3" s="39" t="s">
        <v>3</v>
      </c>
      <c r="J3" s="19"/>
      <c r="K3" s="19"/>
      <c r="L3" s="19"/>
      <c r="M3" s="19"/>
      <c r="N3" s="19"/>
      <c r="O3" s="19"/>
    </row>
    <row r="4" spans="2:15" ht="12.75">
      <c r="B4" s="20"/>
      <c r="C4" s="20"/>
      <c r="D4" s="19"/>
      <c r="E4" s="27">
        <f>FPX</f>
        <v>43.5</v>
      </c>
      <c r="F4" s="19"/>
      <c r="G4" s="19"/>
      <c r="H4" s="19"/>
      <c r="I4" s="27">
        <f>IF(FPX=ROUND(D8,1),D8+0.001,IF(FPX=I8,I8-0.000001,IF(FPX=I8,I8-0.0001,FPX)))</f>
        <v>43.5</v>
      </c>
      <c r="J4" s="19"/>
      <c r="K4" s="19"/>
      <c r="L4" s="19"/>
      <c r="M4" s="19"/>
      <c r="N4" s="19"/>
      <c r="O4" s="19"/>
    </row>
    <row r="5" spans="2:15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21" ht="12.75">
      <c r="B6" s="20"/>
      <c r="C6" s="20"/>
      <c r="D6" s="20"/>
      <c r="E6" s="20"/>
      <c r="F6" s="20"/>
      <c r="G6" s="20"/>
      <c r="H6" s="20"/>
      <c r="I6" s="19"/>
      <c r="J6" s="19"/>
      <c r="K6" s="20"/>
      <c r="L6" s="20"/>
      <c r="M6" s="20"/>
      <c r="N6" s="131"/>
      <c r="O6" s="20"/>
      <c r="P6" s="7"/>
      <c r="Q6" s="7"/>
      <c r="R6" s="7"/>
      <c r="S6" s="7"/>
      <c r="T6" s="7"/>
      <c r="U6" s="7"/>
    </row>
    <row r="7" spans="2:21" ht="14.25">
      <c r="B7" s="43"/>
      <c r="C7" s="21"/>
      <c r="D7" s="21"/>
      <c r="E7" s="21"/>
      <c r="F7" s="22"/>
      <c r="G7" s="20"/>
      <c r="H7" s="44"/>
      <c r="I7" s="45"/>
      <c r="J7" s="46"/>
      <c r="K7" s="19"/>
      <c r="L7" s="21"/>
      <c r="M7" s="22"/>
      <c r="N7" s="23"/>
      <c r="O7" s="23"/>
      <c r="P7" s="9"/>
      <c r="U7" s="9"/>
    </row>
    <row r="8" spans="2:21" ht="12.75">
      <c r="B8" s="21" t="s">
        <v>19</v>
      </c>
      <c r="C8" s="22"/>
      <c r="D8" s="53">
        <v>29</v>
      </c>
      <c r="E8" s="53">
        <v>43.51</v>
      </c>
      <c r="F8" s="54">
        <v>58.02</v>
      </c>
      <c r="G8" s="54">
        <v>72.52</v>
      </c>
      <c r="H8" s="54">
        <v>87.023</v>
      </c>
      <c r="I8" s="54">
        <v>101.5</v>
      </c>
      <c r="J8" s="48"/>
      <c r="K8" s="19"/>
      <c r="L8" s="42"/>
      <c r="M8" s="25"/>
      <c r="N8" s="23"/>
      <c r="O8" s="23"/>
      <c r="P8" s="9"/>
      <c r="U8" s="10"/>
    </row>
    <row r="9" spans="2:21" ht="13.5" thickBot="1">
      <c r="B9" s="21"/>
      <c r="C9" s="22"/>
      <c r="D9" s="53">
        <v>2</v>
      </c>
      <c r="E9" s="53">
        <v>3</v>
      </c>
      <c r="F9" s="54">
        <v>4</v>
      </c>
      <c r="G9" s="54">
        <v>5</v>
      </c>
      <c r="H9" s="54">
        <f>H8/14.50377</f>
        <v>6.0000262000845295</v>
      </c>
      <c r="I9" s="54">
        <f>I8/14.50377</f>
        <v>6.998180473077</v>
      </c>
      <c r="J9" s="48"/>
      <c r="K9" s="19"/>
      <c r="L9" s="55" t="s">
        <v>2</v>
      </c>
      <c r="M9" s="130" t="s">
        <v>39</v>
      </c>
      <c r="N9" s="76" t="s">
        <v>0</v>
      </c>
      <c r="O9" s="23"/>
      <c r="P9" s="9"/>
      <c r="U9" s="10"/>
    </row>
    <row r="10" spans="2:21" ht="12.75">
      <c r="B10" s="21"/>
      <c r="C10" s="55">
        <v>0.38</v>
      </c>
      <c r="D10" s="58">
        <v>-51.32809487683664</v>
      </c>
      <c r="E10" s="59">
        <v>-45.340304106766084</v>
      </c>
      <c r="F10" s="60">
        <v>-31.785116043906957</v>
      </c>
      <c r="G10" s="60">
        <v>-30.440650381963273</v>
      </c>
      <c r="H10" s="60">
        <v>-23.62201667057412</v>
      </c>
      <c r="I10" s="61">
        <v>-17.229663856175303</v>
      </c>
      <c r="J10" s="48"/>
      <c r="K10" s="80">
        <f>C10</f>
        <v>0.38</v>
      </c>
      <c r="L10" s="77">
        <f aca="true" ca="1" t="shared" si="0" ref="L10:L17">FORECAST(FP,OFFSET(D10:I10,0,MATCH(FP,FPIN,1)-1,1,2),OFFSET(FPIN,0,MATCH(FP,FPIN,1)-1,1,2))</f>
        <v>-45.3444307716662</v>
      </c>
      <c r="M10" s="126">
        <f>ROUND((ROUND(((L10+100)/0.78125),0)*0.78125-100),1)</f>
        <v>-45.3</v>
      </c>
      <c r="N10" s="126">
        <f aca="true" t="shared" si="1" ref="N10:N17">IF(FP&lt;$D$8,"ERROR",IF(FP&gt;$I$8,"ERROR",M10))</f>
        <v>-45.3</v>
      </c>
      <c r="O10" s="23"/>
      <c r="P10" s="9"/>
      <c r="U10" s="10"/>
    </row>
    <row r="11" spans="2:21" ht="12.75">
      <c r="B11" s="21"/>
      <c r="C11" s="55">
        <v>0.5104752501553558</v>
      </c>
      <c r="D11" s="62">
        <v>-39.23580718543228</v>
      </c>
      <c r="E11" s="42">
        <v>-30.343634145660282</v>
      </c>
      <c r="F11" s="63">
        <v>-20.851349853505006</v>
      </c>
      <c r="G11" s="63">
        <v>-18.800297282325438</v>
      </c>
      <c r="H11" s="63">
        <v>-11.363575958962679</v>
      </c>
      <c r="I11" s="64">
        <v>-7.574765953235851</v>
      </c>
      <c r="J11" s="20"/>
      <c r="K11" s="81">
        <f aca="true" t="shared" si="2" ref="K11:K17">C11</f>
        <v>0.5104752501553558</v>
      </c>
      <c r="L11" s="78">
        <f ca="1" t="shared" si="0"/>
        <v>-30.349762452372733</v>
      </c>
      <c r="M11" s="127">
        <f aca="true" t="shared" si="3" ref="M11:M17">ROUND((ROUND(((L11+100)/0.78125),0)*0.78125-100),1)</f>
        <v>-30.5</v>
      </c>
      <c r="N11" s="127">
        <f t="shared" si="1"/>
        <v>-30.5</v>
      </c>
      <c r="O11" s="23"/>
      <c r="P11" s="9"/>
      <c r="U11" s="10"/>
    </row>
    <row r="12" spans="2:21" ht="12.75">
      <c r="B12" s="21"/>
      <c r="C12" s="56">
        <v>0.6857499500557186</v>
      </c>
      <c r="D12" s="65">
        <v>-19.219241045212033</v>
      </c>
      <c r="E12" s="63">
        <v>-15.653512008637572</v>
      </c>
      <c r="F12" s="63">
        <v>-12.143468784146682</v>
      </c>
      <c r="G12" s="63">
        <v>-11.50808044745082</v>
      </c>
      <c r="H12" s="63">
        <v>-7.156276238382631</v>
      </c>
      <c r="I12" s="64">
        <v>-5.806398652694577</v>
      </c>
      <c r="J12" s="20"/>
      <c r="K12" s="81">
        <f t="shared" si="2"/>
        <v>0.6857499500557186</v>
      </c>
      <c r="L12" s="78">
        <f ca="1" t="shared" si="0"/>
        <v>-15.655969437332663</v>
      </c>
      <c r="M12" s="127">
        <f t="shared" si="3"/>
        <v>-15.6</v>
      </c>
      <c r="N12" s="127">
        <f t="shared" si="1"/>
        <v>-15.6</v>
      </c>
      <c r="O12" s="23"/>
      <c r="P12" s="9"/>
      <c r="U12" s="10"/>
    </row>
    <row r="13" spans="2:21" ht="12.75">
      <c r="B13" s="20"/>
      <c r="C13" s="55">
        <v>0.9212062560492518</v>
      </c>
      <c r="D13" s="62">
        <v>-14.62221101566692</v>
      </c>
      <c r="E13" s="42">
        <v>-11.371383482907982</v>
      </c>
      <c r="F13" s="42">
        <v>-7.792741723145314</v>
      </c>
      <c r="G13" s="66">
        <v>-8.008020363974467</v>
      </c>
      <c r="H13" s="66">
        <v>-4.826523639855173</v>
      </c>
      <c r="I13" s="64">
        <v>-3.6393178567856066</v>
      </c>
      <c r="J13" s="49"/>
      <c r="K13" s="81">
        <f t="shared" si="2"/>
        <v>0.9212062560492518</v>
      </c>
      <c r="L13" s="78">
        <f ca="1" t="shared" si="0"/>
        <v>-11.373623887823733</v>
      </c>
      <c r="M13" s="127">
        <f t="shared" si="3"/>
        <v>-11.7</v>
      </c>
      <c r="N13" s="127">
        <f t="shared" si="1"/>
        <v>-11.7</v>
      </c>
      <c r="O13" s="23"/>
      <c r="P13" s="9"/>
      <c r="U13" s="9"/>
    </row>
    <row r="14" spans="2:21" ht="12.75">
      <c r="B14" s="20"/>
      <c r="C14" s="55">
        <v>1.2375078789511067</v>
      </c>
      <c r="D14" s="62">
        <v>-8.719328116636493</v>
      </c>
      <c r="E14" s="42">
        <v>-6.099342399722863</v>
      </c>
      <c r="F14" s="42">
        <v>-3.2120773010996473</v>
      </c>
      <c r="G14" s="66">
        <v>-3.3920544022654098</v>
      </c>
      <c r="H14" s="66">
        <v>-1.636427911978866</v>
      </c>
      <c r="I14" s="64">
        <v>-0.9731342578544022</v>
      </c>
      <c r="J14" s="51"/>
      <c r="K14" s="81">
        <f t="shared" si="2"/>
        <v>1.2375078789511067</v>
      </c>
      <c r="L14" s="78">
        <f ca="1" t="shared" si="0"/>
        <v>-6.10114804115423</v>
      </c>
      <c r="M14" s="127">
        <f t="shared" si="3"/>
        <v>-6.3</v>
      </c>
      <c r="N14" s="129">
        <f t="shared" si="1"/>
        <v>-6.3</v>
      </c>
      <c r="O14" s="23"/>
      <c r="P14" s="9"/>
      <c r="U14" s="9"/>
    </row>
    <row r="15" spans="2:21" ht="12.75">
      <c r="B15" s="20"/>
      <c r="C15" s="55">
        <v>1.662413537044184</v>
      </c>
      <c r="D15" s="62">
        <v>-3.5225955211630855</v>
      </c>
      <c r="E15" s="42">
        <v>-2.1234700411504326</v>
      </c>
      <c r="F15" s="42">
        <v>-0.5644507092135598</v>
      </c>
      <c r="G15" s="66">
        <v>-0.9854355321378017</v>
      </c>
      <c r="H15" s="66">
        <v>0.012110299636369781</v>
      </c>
      <c r="I15" s="64">
        <v>0.5201060276822878</v>
      </c>
      <c r="J15" s="51"/>
      <c r="K15" s="81">
        <f t="shared" si="2"/>
        <v>1.662413537044184</v>
      </c>
      <c r="L15" s="78">
        <f ca="1" t="shared" si="0"/>
        <v>-2.1244342902751825</v>
      </c>
      <c r="M15" s="127">
        <f t="shared" si="3"/>
        <v>-2.3</v>
      </c>
      <c r="N15" s="127">
        <f t="shared" si="1"/>
        <v>-2.3</v>
      </c>
      <c r="O15" s="23"/>
      <c r="P15" s="9"/>
      <c r="Q15" s="9"/>
      <c r="R15" s="9"/>
      <c r="S15" s="9"/>
      <c r="T15" s="9"/>
      <c r="U15" s="9"/>
    </row>
    <row r="16" spans="2:21" ht="12.75">
      <c r="B16" s="20"/>
      <c r="C16" s="55">
        <v>2.233213068905999</v>
      </c>
      <c r="D16" s="62">
        <v>-1.1823173515506769</v>
      </c>
      <c r="E16" s="42">
        <v>-0.5993272723845755</v>
      </c>
      <c r="F16" s="42">
        <v>0.048475324036934</v>
      </c>
      <c r="G16" s="66">
        <v>-0.17108269686727517</v>
      </c>
      <c r="H16" s="66">
        <v>0.3511639086795304</v>
      </c>
      <c r="I16" s="64">
        <v>0.8563500524830348</v>
      </c>
      <c r="J16" s="51"/>
      <c r="K16" s="81">
        <f t="shared" si="2"/>
        <v>2.233213068905999</v>
      </c>
      <c r="L16" s="78">
        <f ca="1" t="shared" si="0"/>
        <v>-0.5997290574150138</v>
      </c>
      <c r="M16" s="127">
        <f t="shared" si="3"/>
        <v>-0.8</v>
      </c>
      <c r="N16" s="127">
        <f t="shared" si="1"/>
        <v>-0.8</v>
      </c>
      <c r="O16" s="23"/>
      <c r="P16" s="9"/>
      <c r="T16" s="8"/>
      <c r="U16" s="9"/>
    </row>
    <row r="17" spans="2:21" ht="13.5" thickBot="1">
      <c r="B17" s="20"/>
      <c r="C17" s="55">
        <v>2.9999999999999987</v>
      </c>
      <c r="D17" s="67">
        <v>0</v>
      </c>
      <c r="E17" s="57">
        <v>0</v>
      </c>
      <c r="F17" s="57">
        <v>0.07956605698995478</v>
      </c>
      <c r="G17" s="68">
        <v>0.010551533549230108</v>
      </c>
      <c r="H17" s="68">
        <v>0</v>
      </c>
      <c r="I17" s="69">
        <v>0</v>
      </c>
      <c r="J17" s="51"/>
      <c r="K17" s="82">
        <f t="shared" si="2"/>
        <v>2.9999999999999987</v>
      </c>
      <c r="L17" s="79">
        <f ca="1" t="shared" si="0"/>
        <v>0</v>
      </c>
      <c r="M17" s="128">
        <f t="shared" si="3"/>
        <v>0</v>
      </c>
      <c r="N17" s="128">
        <f t="shared" si="1"/>
        <v>0</v>
      </c>
      <c r="O17" s="23"/>
      <c r="P17" s="9"/>
      <c r="T17" s="6"/>
      <c r="U17" s="10"/>
    </row>
    <row r="18" spans="2:21" ht="12.75">
      <c r="B18" s="20"/>
      <c r="C18" s="50"/>
      <c r="D18" s="47"/>
      <c r="E18" s="42"/>
      <c r="F18" s="25"/>
      <c r="G18" s="23"/>
      <c r="H18" s="20"/>
      <c r="I18" s="47"/>
      <c r="J18" s="51"/>
      <c r="K18" s="19"/>
      <c r="L18" s="42"/>
      <c r="M18" s="25"/>
      <c r="N18" s="23"/>
      <c r="O18" s="23"/>
      <c r="P18" s="9"/>
      <c r="T18" s="6"/>
      <c r="U18" s="10"/>
    </row>
    <row r="19" spans="2:21" ht="12.75">
      <c r="B19" s="20"/>
      <c r="C19" s="50"/>
      <c r="D19" s="47"/>
      <c r="E19" s="42"/>
      <c r="F19" s="25"/>
      <c r="G19" s="23"/>
      <c r="H19" s="20"/>
      <c r="I19" s="47"/>
      <c r="J19" s="51"/>
      <c r="K19" s="19"/>
      <c r="L19" s="42"/>
      <c r="M19" s="25"/>
      <c r="N19" s="23"/>
      <c r="O19" s="23"/>
      <c r="P19" s="9"/>
      <c r="T19" s="6"/>
      <c r="U19" s="10"/>
    </row>
    <row r="20" spans="2:21" ht="12.75">
      <c r="B20" s="94" t="s">
        <v>18</v>
      </c>
      <c r="E20" s="42"/>
      <c r="F20" s="93" t="s">
        <v>16</v>
      </c>
      <c r="G20" s="23"/>
      <c r="H20" s="20"/>
      <c r="I20" s="47"/>
      <c r="J20" s="51"/>
      <c r="L20" s="42"/>
      <c r="M20" s="25"/>
      <c r="N20" s="93"/>
      <c r="O20" s="23"/>
      <c r="P20" s="9"/>
      <c r="T20" s="6"/>
      <c r="U20" s="10"/>
    </row>
    <row r="21" spans="2:21" ht="13.5" thickBot="1">
      <c r="B21" s="20"/>
      <c r="C21" s="92"/>
      <c r="D21" s="92">
        <v>8</v>
      </c>
      <c r="E21" s="89">
        <v>10</v>
      </c>
      <c r="F21" s="89">
        <v>12</v>
      </c>
      <c r="G21" s="89">
        <v>14</v>
      </c>
      <c r="H21" s="89">
        <v>16</v>
      </c>
      <c r="I21" s="47"/>
      <c r="J21" s="92">
        <v>6.5</v>
      </c>
      <c r="K21" s="89">
        <v>9</v>
      </c>
      <c r="L21" s="89">
        <v>11.5</v>
      </c>
      <c r="M21" s="89">
        <v>14</v>
      </c>
      <c r="N21" s="89">
        <v>16.5</v>
      </c>
      <c r="P21" s="92"/>
      <c r="Q21" s="92">
        <v>8</v>
      </c>
      <c r="R21" s="89">
        <v>10</v>
      </c>
      <c r="S21" s="89">
        <v>12</v>
      </c>
      <c r="T21" s="89">
        <v>14</v>
      </c>
      <c r="U21" s="89">
        <v>16</v>
      </c>
    </row>
    <row r="22" spans="2:21" ht="12.75">
      <c r="B22" s="20">
        <f>C22/14.50377</f>
        <v>1.9994801351648572</v>
      </c>
      <c r="C22" s="53">
        <v>29</v>
      </c>
      <c r="D22" s="156">
        <v>2.026378253035979</v>
      </c>
      <c r="E22" s="157">
        <v>1.4879950271149054</v>
      </c>
      <c r="F22" s="158">
        <v>1.1735244409017533</v>
      </c>
      <c r="G22" s="157">
        <v>0.9815681994984311</v>
      </c>
      <c r="H22" s="159">
        <v>0.8439660500918311</v>
      </c>
      <c r="I22" s="47"/>
      <c r="J22" s="58">
        <v>2.5771083422851073</v>
      </c>
      <c r="K22" s="59">
        <v>1.729197560111952</v>
      </c>
      <c r="L22" s="59">
        <v>1.238279845092446</v>
      </c>
      <c r="M22" s="59">
        <v>0.9815681994984311</v>
      </c>
      <c r="N22" s="146">
        <v>0.8180583396146691</v>
      </c>
      <c r="P22" s="55" t="s">
        <v>2</v>
      </c>
      <c r="Q22" s="90">
        <f ca="1">FORECAST(FP,OFFSET(D$22:D$29,MATCH(FP,$C$22:$C$29,1)-1,0,2),OFFSET($C$22:$C$29,MATCH(FP,$C$22:$C$29,1)-1,0,2))</f>
        <v>2.2315690341724297</v>
      </c>
      <c r="R22" s="102">
        <f ca="1">FORECAST(FP,OFFSET(E$22:E$29,MATCH(FP,$C$22:$C$29,1)-1,0,2),OFFSET($C$22:$C$29,MATCH(FP,$C$22:$C$29,1)-1,0,2))</f>
        <v>1.6092311874435186</v>
      </c>
      <c r="S22" s="102">
        <f ca="1">FORECAST(FP,OFFSET(F$22:F$29,MATCH(FP,$C$22:$C$29,1)-1,0,2),OFFSET($C$22:$C$29,MATCH(FP,$C$22:$C$29,1)-1,0,2))</f>
        <v>1.256385478113509</v>
      </c>
      <c r="T22" s="102">
        <f ca="1">FORECAST(FP,OFFSET(G$22:G$29,MATCH(FP,$C$22:$C$29,1)-1,0,2),OFFSET($C$22:$C$29,MATCH(FP,$C$22:$C$29,1)-1,0,2))</f>
        <v>1.033004634819684</v>
      </c>
      <c r="U22" s="103">
        <f ca="1">FORECAST(FP,OFFSET(H$22:H$29,MATCH(FP,$C$22:$C$29,1)-1,0,2),OFFSET($C$22:$C$29,MATCH(FP,$C$22:$C$29,1)-1,0,2))</f>
        <v>0.8655821039343251</v>
      </c>
    </row>
    <row r="23" spans="2:21" ht="12.75">
      <c r="B23" s="20">
        <f aca="true" t="shared" si="4" ref="B23:B29">C23/14.50377</f>
        <v>2.999220202747286</v>
      </c>
      <c r="C23" s="53">
        <v>43.5</v>
      </c>
      <c r="D23" s="160">
        <v>2.2315690341724297</v>
      </c>
      <c r="E23" s="63">
        <v>1.6092311874435188</v>
      </c>
      <c r="F23" s="66">
        <v>1.256385478113509</v>
      </c>
      <c r="G23" s="63">
        <v>1.033004634819684</v>
      </c>
      <c r="H23" s="161">
        <v>0.8655821039343251</v>
      </c>
      <c r="I23" s="47"/>
      <c r="J23" s="62">
        <v>2.875176634387142</v>
      </c>
      <c r="K23" s="42">
        <v>1.8867135936331116</v>
      </c>
      <c r="L23" s="42">
        <v>1.3291776850825554</v>
      </c>
      <c r="M23" s="42">
        <v>1.033004634819684</v>
      </c>
      <c r="N23" s="147">
        <v>0.8324699575268082</v>
      </c>
      <c r="P23" s="76" t="s">
        <v>0</v>
      </c>
      <c r="Q23" s="99">
        <f>IF(FP&gt;$I$8,"ERROR",IF(FP&lt;$D$8,"ERROR",_xlfn.IFERROR(Q22,"N/A")))</f>
        <v>2.2315690341724297</v>
      </c>
      <c r="R23" s="100">
        <f>IF(FP&gt;$I$8,"ERROR",IF(FP&lt;$D$8,"ERROR",_xlfn.IFERROR(R22,"N/A")))</f>
        <v>1.6092311874435186</v>
      </c>
      <c r="S23" s="100">
        <f>IF(FP&gt;$I$8,"ERROR",IF(FP&lt;$D$8,"ERROR",_xlfn.IFERROR(S22,"N/A")))</f>
        <v>1.256385478113509</v>
      </c>
      <c r="T23" s="100">
        <f>IF(FP&gt;$I$8,"ERROR",IF(FP&lt;$D$8,"ERROR",_xlfn.IFERROR(T22,"N/A")))</f>
        <v>1.033004634819684</v>
      </c>
      <c r="U23" s="101">
        <f>IF(FP&gt;$I$8,"ERROR",IF(FP&lt;$D$8,"ERROR",_xlfn.IFERROR(U22,"N/A")))</f>
        <v>0.8655821039343251</v>
      </c>
    </row>
    <row r="24" spans="2:21" ht="12.75">
      <c r="B24" s="20">
        <f t="shared" si="4"/>
        <v>3.9989602703297145</v>
      </c>
      <c r="C24" s="53">
        <v>58</v>
      </c>
      <c r="D24" s="160">
        <v>2.4994861283636958</v>
      </c>
      <c r="E24" s="63">
        <v>1.7447013981244963</v>
      </c>
      <c r="F24" s="42">
        <v>1.3378117772738178</v>
      </c>
      <c r="G24" s="63">
        <v>1.0820135811682587</v>
      </c>
      <c r="H24" s="161">
        <v>0.9053965980488163</v>
      </c>
      <c r="I24" s="47"/>
      <c r="J24" s="62">
        <v>3.293880841579311</v>
      </c>
      <c r="K24" s="42">
        <v>2.078606874570531</v>
      </c>
      <c r="L24" s="42">
        <v>1.4207567750578027</v>
      </c>
      <c r="M24" s="42">
        <v>1.0820135811682587</v>
      </c>
      <c r="N24" s="147">
        <v>0.8736144167980364</v>
      </c>
      <c r="O24" s="91"/>
      <c r="P24" s="91"/>
      <c r="Q24" s="9"/>
      <c r="R24" s="9"/>
      <c r="S24" s="9"/>
      <c r="T24" s="9"/>
      <c r="U24" s="9"/>
    </row>
    <row r="25" spans="2:21" ht="12.75">
      <c r="B25" s="20">
        <f t="shared" si="4"/>
        <v>4.502277683664317</v>
      </c>
      <c r="C25" s="53">
        <v>65.3</v>
      </c>
      <c r="D25" s="160">
        <v>2.6969927937741742</v>
      </c>
      <c r="E25" s="63">
        <v>1.8334757250954514</v>
      </c>
      <c r="F25" s="42">
        <v>1.4001098540479457</v>
      </c>
      <c r="G25" s="63">
        <v>1.1282548939669341</v>
      </c>
      <c r="H25" s="161">
        <v>0.9376474231179904</v>
      </c>
      <c r="I25" s="47"/>
      <c r="J25" s="62">
        <v>3.6269173187287005</v>
      </c>
      <c r="K25" s="42">
        <v>2.211465359730911</v>
      </c>
      <c r="L25" s="42">
        <v>1.487013417188009</v>
      </c>
      <c r="M25" s="42">
        <v>1.1282548939669341</v>
      </c>
      <c r="N25" s="147">
        <v>0.9026904755982653</v>
      </c>
      <c r="O25" s="91"/>
      <c r="P25" s="51" t="s">
        <v>41</v>
      </c>
      <c r="Q25" s="92">
        <v>6.5</v>
      </c>
      <c r="R25" s="89">
        <v>9</v>
      </c>
      <c r="S25" s="89">
        <v>11.5</v>
      </c>
      <c r="T25" s="89">
        <v>14</v>
      </c>
      <c r="U25" s="89">
        <v>16.5</v>
      </c>
    </row>
    <row r="26" spans="2:21" ht="12.75">
      <c r="B26" s="20">
        <f t="shared" si="4"/>
        <v>5.000010342138631</v>
      </c>
      <c r="C26" s="53">
        <v>72.519</v>
      </c>
      <c r="D26" s="160">
        <v>2.908052251047272</v>
      </c>
      <c r="E26" s="63">
        <v>1.9259763750232022</v>
      </c>
      <c r="F26" s="42">
        <v>1.4631311863648633</v>
      </c>
      <c r="G26" s="63">
        <v>1.1749202092670563</v>
      </c>
      <c r="H26" s="161">
        <v>0.9696309681903922</v>
      </c>
      <c r="I26" s="23"/>
      <c r="J26" s="148">
        <v>3.985354296649086</v>
      </c>
      <c r="K26" s="42">
        <v>2.352110477114521</v>
      </c>
      <c r="L26" s="42">
        <v>1.5543940462939638</v>
      </c>
      <c r="M26" s="42">
        <v>1.1749202092670563</v>
      </c>
      <c r="N26" s="147">
        <v>0.9312651791745298</v>
      </c>
      <c r="O26" s="91"/>
      <c r="P26" s="55" t="s">
        <v>2</v>
      </c>
      <c r="Q26" s="90">
        <f ca="1">FORECAST(FP,OFFSET(J$22:J$29,MATCH(FP,$C$22:$C$29,1)-1,0,2),OFFSET($C$22:$C$29,MATCH(FP,$C$22:$C$29,1)-1,0,2))</f>
        <v>2.8751766343871417</v>
      </c>
      <c r="R26" s="102">
        <f ca="1">FORECAST(FP,OFFSET(K$22:K$29,MATCH(FP,$C$22:$C$29,1)-1,0,2),OFFSET($C$22:$C$29,MATCH(FP,$C$22:$C$29,1)-1,0,2))</f>
        <v>1.8867135936331116</v>
      </c>
      <c r="S26" s="102">
        <f ca="1">FORECAST(FP,OFFSET(L$22:L$29,MATCH(FP,$C$22:$C$29,1)-1,0,2),OFFSET($C$22:$C$29,MATCH(FP,$C$22:$C$29,1)-1,0,2))</f>
        <v>1.3291776850825556</v>
      </c>
      <c r="T26" s="102">
        <f ca="1">FORECAST(FP,OFFSET(M$22:M$29,MATCH(FP,$C$22:$C$29,1)-1,0,2),OFFSET($C$22:$C$29,MATCH(FP,$C$22:$C$29,1)-1,0,2))</f>
        <v>1.033004634819684</v>
      </c>
      <c r="U26" s="103">
        <f ca="1">FORECAST(FP,OFFSET(N$22:N$29,MATCH(FP,$C$22:$C$29,1)-1,0,2),OFFSET($C$22:$C$29,MATCH(FP,$C$22:$C$29,1)-1,0,2))</f>
        <v>0.8324699575268082</v>
      </c>
    </row>
    <row r="27" spans="2:21" ht="12.75">
      <c r="B27" s="20">
        <f t="shared" si="4"/>
        <v>5.502017751246745</v>
      </c>
      <c r="C27" s="130">
        <v>79.8</v>
      </c>
      <c r="D27" s="160">
        <v>3.1022085703865376</v>
      </c>
      <c r="E27" s="63">
        <v>2.008912585418242</v>
      </c>
      <c r="F27" s="162">
        <v>1.508719453190951</v>
      </c>
      <c r="G27" s="162">
        <v>1.2025979613658895</v>
      </c>
      <c r="H27" s="161">
        <v>0.9889523562894529</v>
      </c>
      <c r="J27" s="148">
        <v>4.311404306224046</v>
      </c>
      <c r="K27" s="42">
        <v>2.4814227213097646</v>
      </c>
      <c r="L27" s="42">
        <v>1.6062212259208746</v>
      </c>
      <c r="M27" s="42">
        <v>1.2025979613658895</v>
      </c>
      <c r="N27" s="147">
        <v>0.9499903123248166</v>
      </c>
      <c r="P27" s="76" t="s">
        <v>0</v>
      </c>
      <c r="Q27" s="99">
        <f>IF(FP&gt;$I$8,"ERROR",IF(FP&lt;$D$8,"ERROR",_xlfn.IFERROR(Q26,"N/A")))</f>
        <v>2.8751766343871417</v>
      </c>
      <c r="R27" s="100">
        <f>IF(FP&gt;$I$8,"ERROR",IF(FP&lt;$D$8,"ERROR",_xlfn.IFERROR(R26,"N/A")))</f>
        <v>1.8867135936331116</v>
      </c>
      <c r="S27" s="100">
        <f>IF(FP&gt;$I$8,"ERROR",IF(FP&lt;$D$8,"ERROR",_xlfn.IFERROR(S26,"N/A")))</f>
        <v>1.3291776850825556</v>
      </c>
      <c r="T27" s="100">
        <f>IF(FP&gt;$I$8,"ERROR",IF(FP&lt;$D$8,"ERROR",_xlfn.IFERROR(T26,"N/A")))</f>
        <v>1.033004634819684</v>
      </c>
      <c r="U27" s="101">
        <f>IF(FP&gt;$I$8,"ERROR",IF(FP&lt;$D$8,"ERROR",_xlfn.IFERROR(U26,"N/A")))</f>
        <v>0.8324699575268082</v>
      </c>
    </row>
    <row r="28" spans="2:21" ht="12.75">
      <c r="B28" s="20">
        <f t="shared" si="4"/>
        <v>5.998447300253659</v>
      </c>
      <c r="C28" s="54">
        <v>87.0001</v>
      </c>
      <c r="D28" s="160" t="s">
        <v>40</v>
      </c>
      <c r="E28" s="63">
        <v>2.0981143976488874</v>
      </c>
      <c r="F28" s="162">
        <v>1.55526188823798</v>
      </c>
      <c r="G28" s="162">
        <v>1.2310744972994665</v>
      </c>
      <c r="H28" s="161">
        <v>1.0098686708852935</v>
      </c>
      <c r="J28" s="148" t="s">
        <v>40</v>
      </c>
      <c r="K28" s="91">
        <v>2.616678062206918</v>
      </c>
      <c r="L28" s="42">
        <v>1.6601540363323304</v>
      </c>
      <c r="M28" s="42">
        <v>1.2310744972994665</v>
      </c>
      <c r="N28" s="147">
        <v>0.9706580837386786</v>
      </c>
      <c r="O28" s="24"/>
      <c r="P28" s="9"/>
      <c r="Q28" s="9"/>
      <c r="R28" s="9"/>
      <c r="S28" s="9"/>
      <c r="T28" s="9"/>
      <c r="U28" s="7"/>
    </row>
    <row r="29" spans="2:21" ht="13.5" thickBot="1">
      <c r="B29" s="20">
        <f t="shared" si="4"/>
        <v>6.998180473077</v>
      </c>
      <c r="C29" s="54">
        <v>101.5</v>
      </c>
      <c r="D29" s="163" t="s">
        <v>40</v>
      </c>
      <c r="E29" s="164">
        <v>2.3347751495657274</v>
      </c>
      <c r="F29" s="164">
        <v>1.6908797396545983</v>
      </c>
      <c r="G29" s="164">
        <v>1.3318560083941757</v>
      </c>
      <c r="H29" s="165">
        <v>1.0879123121762562</v>
      </c>
      <c r="I29" s="20"/>
      <c r="J29" s="149" t="s">
        <v>40</v>
      </c>
      <c r="K29" s="150">
        <v>2.9459713947174704</v>
      </c>
      <c r="L29" s="57">
        <v>1.8137455184649915</v>
      </c>
      <c r="M29" s="57">
        <v>1.3318560083941757</v>
      </c>
      <c r="N29" s="151">
        <v>1.0449076435971671</v>
      </c>
      <c r="O29" s="24"/>
      <c r="P29" s="9"/>
      <c r="Q29" s="9"/>
      <c r="R29" s="9"/>
      <c r="S29" s="7"/>
      <c r="T29" s="7"/>
      <c r="U29" s="7"/>
    </row>
    <row r="30" spans="2:18" ht="12.75">
      <c r="B30" s="20"/>
      <c r="C30" s="20"/>
      <c r="D30" s="20"/>
      <c r="E30" s="23"/>
      <c r="F30" s="23"/>
      <c r="G30" s="23"/>
      <c r="H30" s="23"/>
      <c r="I30" s="23"/>
      <c r="J30" s="23"/>
      <c r="K30" s="23"/>
      <c r="L30" s="42"/>
      <c r="M30" s="25"/>
      <c r="N30" s="23"/>
      <c r="O30" s="23"/>
      <c r="P30" s="7"/>
      <c r="Q30" s="7"/>
      <c r="R30" s="7"/>
    </row>
    <row r="31" spans="2:14" ht="12.75">
      <c r="B31" s="44" t="s">
        <v>20</v>
      </c>
      <c r="C31" s="52"/>
      <c r="D31" s="45" t="s">
        <v>35</v>
      </c>
      <c r="F31" s="45" t="s">
        <v>36</v>
      </c>
      <c r="H31" s="44" t="s">
        <v>24</v>
      </c>
      <c r="I31" s="20"/>
      <c r="J31" s="20"/>
      <c r="N31" s="23"/>
    </row>
    <row r="32" spans="2:12" ht="12.75">
      <c r="B32" s="44"/>
      <c r="C32" s="95" t="s">
        <v>22</v>
      </c>
      <c r="D32" s="96">
        <v>0.724</v>
      </c>
      <c r="E32" s="110">
        <v>0</v>
      </c>
      <c r="F32" s="112">
        <f>TREND(D32:D33,E32:E33,ETH,TRUE)</f>
        <v>0.724</v>
      </c>
      <c r="H32" s="27">
        <f>14.64-ETH*0.0563</f>
        <v>14.077</v>
      </c>
      <c r="I32" s="20"/>
      <c r="J32" s="20"/>
      <c r="K32" s="55" t="s">
        <v>2</v>
      </c>
      <c r="L32" s="76" t="s">
        <v>0</v>
      </c>
    </row>
    <row r="33" spans="2:12" ht="14.25">
      <c r="B33" s="44"/>
      <c r="C33" s="95" t="s">
        <v>21</v>
      </c>
      <c r="D33" s="97">
        <v>0.724</v>
      </c>
      <c r="E33" s="111">
        <v>100</v>
      </c>
      <c r="F33" s="20"/>
      <c r="G33" s="20"/>
      <c r="H33" s="20"/>
      <c r="I33" s="26"/>
      <c r="J33" s="20"/>
      <c r="K33" s="122">
        <f ca="1">FORECAST(FP,OFFSET(I36:I40,MATCH(FP,G36:G40,1)-1,0,2),OFFSET(G36:G40,MATCH(FP,G36:G40,1)-1,0,2))</f>
        <v>2137.1942897965696</v>
      </c>
      <c r="L33" s="121">
        <f>_xlfn.IFERROR(K33,"ERROR")</f>
        <v>2137.1942897965696</v>
      </c>
    </row>
    <row r="34" spans="2:10" ht="12.75">
      <c r="B34" s="44"/>
      <c r="D34" s="20"/>
      <c r="E34" s="20"/>
      <c r="F34" s="20"/>
      <c r="G34" s="116" t="s">
        <v>17</v>
      </c>
      <c r="H34" s="116" t="s">
        <v>30</v>
      </c>
      <c r="I34" s="116" t="s">
        <v>31</v>
      </c>
      <c r="J34" s="20"/>
    </row>
    <row r="35" spans="2:9" ht="12.75">
      <c r="B35" s="88" t="s">
        <v>25</v>
      </c>
      <c r="C35"/>
      <c r="D35"/>
      <c r="E35" s="105">
        <v>0.5</v>
      </c>
      <c r="F35"/>
      <c r="G35" s="116" t="s">
        <v>32</v>
      </c>
      <c r="H35" s="116" t="s">
        <v>33</v>
      </c>
      <c r="I35" s="116" t="s">
        <v>34</v>
      </c>
    </row>
    <row r="36" spans="2:9" ht="15">
      <c r="B36" s="117" t="s">
        <v>28</v>
      </c>
      <c r="C36" s="104"/>
      <c r="D36" s="104"/>
      <c r="E36" s="106">
        <v>1036</v>
      </c>
      <c r="F36"/>
      <c r="G36" s="166">
        <v>29</v>
      </c>
      <c r="H36" s="113">
        <v>1066.93</v>
      </c>
      <c r="I36" s="118">
        <f>$E$38/((H36*$F$32)/60000000)</f>
        <v>2758.9043954328317</v>
      </c>
    </row>
    <row r="37" spans="2:9" ht="15">
      <c r="B37"/>
      <c r="C37"/>
      <c r="D37"/>
      <c r="F37"/>
      <c r="G37" s="167">
        <v>39.66568959615404</v>
      </c>
      <c r="H37" s="114">
        <v>1328.6</v>
      </c>
      <c r="I37" s="119">
        <f>$E$38/((H37*$F$32)/60000000)</f>
        <v>2215.533544045726</v>
      </c>
    </row>
    <row r="38" spans="2:10" ht="15">
      <c r="B38" s="88" t="s">
        <v>26</v>
      </c>
      <c r="C38"/>
      <c r="D38"/>
      <c r="E38" s="107">
        <f>E35/H32</f>
        <v>0.035518931590537754</v>
      </c>
      <c r="F38"/>
      <c r="G38" s="167">
        <v>54.25403210822216</v>
      </c>
      <c r="H38" s="114">
        <v>1535.12</v>
      </c>
      <c r="I38" s="119">
        <f>$E$38/((H38*$F$32)/60000000)</f>
        <v>1917.4773741591218</v>
      </c>
      <c r="J38"/>
    </row>
    <row r="39" spans="2:9" ht="15">
      <c r="B39" s="88" t="s">
        <v>27</v>
      </c>
      <c r="C39"/>
      <c r="D39"/>
      <c r="E39" s="108">
        <f>(E36*F32)/60000000</f>
        <v>1.2501066666666666E-05</v>
      </c>
      <c r="G39" s="167">
        <v>74.20771023946602</v>
      </c>
      <c r="H39" s="114">
        <v>1716.32</v>
      </c>
      <c r="I39" s="119">
        <f>$E$38/((H39*$F$32)/60000000)</f>
        <v>1715.0402411083896</v>
      </c>
    </row>
    <row r="40" spans="2:9" ht="15">
      <c r="B40" s="117" t="s">
        <v>29</v>
      </c>
      <c r="C40" s="104"/>
      <c r="D40" s="104"/>
      <c r="E40" s="109">
        <f>E38/E39</f>
        <v>2841.2720720262078</v>
      </c>
      <c r="G40" s="168">
        <v>101.50000000000003</v>
      </c>
      <c r="H40" s="115">
        <v>1869.61</v>
      </c>
      <c r="I40" s="120">
        <f>$E$38/((H40*$F$32)/60000000)</f>
        <v>1574.4234715363905</v>
      </c>
    </row>
    <row r="50" spans="7:9" ht="12.75">
      <c r="G50" s="7"/>
      <c r="H50" s="7"/>
      <c r="I50" s="7"/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Paul</cp:lastModifiedBy>
  <dcterms:created xsi:type="dcterms:W3CDTF">2009-07-22T19:57:52Z</dcterms:created>
  <dcterms:modified xsi:type="dcterms:W3CDTF">2017-12-27T19:23:19Z</dcterms:modified>
  <cp:category/>
  <cp:version/>
  <cp:contentType/>
  <cp:contentStatus/>
</cp:coreProperties>
</file>