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70" yWindow="60" windowWidth="28515" windowHeight="12435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Math'!$D$8:$H$8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Math'!$L$24:$L$28</definedName>
    <definedName name="LSIN">'Background Math'!$M$24:$M$28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<sst xmlns="http://schemas.openxmlformats.org/spreadsheetml/2006/main" count="59" uniqueCount="47">
  <si>
    <t>OUTPUT</t>
  </si>
  <si>
    <t>Enter Base Fuel Pressure (psid)</t>
  </si>
  <si>
    <t># for Error</t>
  </si>
  <si>
    <t>Pressure (error handling)</t>
  </si>
  <si>
    <t>* 29 to 87 psid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</si>
  <si>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</si>
  <si>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</si>
  <si>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</si>
  <si>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</si>
  <si>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</si>
  <si>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</si>
  <si>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</si>
  <si>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</si>
  <si>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</si>
  <si>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</si>
  <si>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</si>
  <si>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</si>
  <si>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</si>
  <si>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</si>
  <si>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</si>
  <si>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</si>
  <si>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</si>
  <si>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</si>
  <si>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</si>
  <si>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</si>
  <si>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</si>
  <si>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</si>
  <si>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</si>
  <si>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</si>
  <si>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</si>
  <si>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</si>
  <si>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</si>
  <si>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</si>
  <si>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</si>
  <si>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</si>
  <si>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</si>
  <si>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</si>
  <si>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</si>
  <si>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</si>
  <si>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</si>
  <si>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</si>
  <si>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</si>
  <si>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Fuel pressure input from 29 to 87 psi - JK</t>
  </si>
  <si>
    <t>Rounding</t>
  </si>
  <si>
    <t>Added older ECU breakpoints - JK</t>
  </si>
  <si>
    <t>Fuel Injector Latency (Fixed Break Points)</t>
  </si>
  <si>
    <t>Old ECU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</si>
</sst>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179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2" fontId="62" fillId="56" borderId="20" xfId="179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0" fontId="68" fillId="0" borderId="0" xfId="165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65" fontId="23" fillId="0" borderId="38" xfId="0" applyNumberFormat="1" applyFont="1" applyBorder="1" applyAlignment="1" applyProtection="1">
      <alignment horizontal="center"/>
      <protection hidden="1"/>
    </xf>
    <xf numFmtId="165" fontId="23" fillId="0" borderId="39" xfId="0" applyNumberFormat="1" applyFont="1" applyFill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" fontId="62" fillId="56" borderId="20" xfId="180" applyNumberFormat="1" applyFont="1" applyFill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43" xfId="0" applyNumberFormat="1" applyFont="1" applyFill="1" applyBorder="1" applyAlignment="1" applyProtection="1">
      <alignment horizontal="center" vertical="center"/>
      <protection hidden="1"/>
    </xf>
    <xf numFmtId="165" fontId="23" fillId="0" borderId="44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4" xfId="0" applyFill="1" applyBorder="1" applyAlignment="1">
      <alignment/>
    </xf>
    <xf numFmtId="0" fontId="0" fillId="57" borderId="35" xfId="0" applyFill="1" applyBorder="1" applyAlignment="1">
      <alignment/>
    </xf>
    <xf numFmtId="0" fontId="0" fillId="57" borderId="33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  <xf numFmtId="0" fontId="0" fillId="57" borderId="42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164" fontId="23" fillId="0" borderId="32" xfId="0" applyNumberFormat="1" applyFont="1" applyFill="1" applyBorder="1" applyAlignment="1" applyProtection="1">
      <alignment horizontal="center" vertical="center"/>
      <protection hidden="1"/>
    </xf>
    <xf numFmtId="164" fontId="23" fillId="0" borderId="34" xfId="0" applyNumberFormat="1" applyFont="1" applyFill="1" applyBorder="1" applyAlignment="1" applyProtection="1">
      <alignment horizontal="center" vertical="center"/>
      <protection hidden="1"/>
    </xf>
    <xf numFmtId="164" fontId="23" fillId="0" borderId="35" xfId="0" applyNumberFormat="1" applyFont="1" applyFill="1" applyBorder="1" applyAlignment="1" applyProtection="1">
      <alignment horizontal="center" vertical="center"/>
      <protection hidden="1"/>
    </xf>
    <xf numFmtId="164" fontId="23" fillId="0" borderId="33" xfId="0" applyNumberFormat="1" applyFont="1" applyFill="1" applyBorder="1" applyAlignment="1" applyProtection="1">
      <alignment horizontal="center" vertical="center"/>
      <protection hidden="1"/>
    </xf>
    <xf numFmtId="164" fontId="23" fillId="0" borderId="36" xfId="0" applyNumberFormat="1" applyFont="1" applyFill="1" applyBorder="1" applyAlignment="1" applyProtection="1">
      <alignment horizontal="center" vertical="center"/>
      <protection hidden="1"/>
    </xf>
    <xf numFmtId="164" fontId="23" fillId="0" borderId="37" xfId="0" applyNumberFormat="1" applyFont="1" applyFill="1" applyBorder="1" applyAlignment="1" applyProtection="1">
      <alignment horizontal="center" vertical="center"/>
      <protection hidden="1"/>
    </xf>
    <xf numFmtId="164" fontId="23" fillId="0" borderId="38" xfId="0" applyNumberFormat="1" applyFont="1" applyFill="1" applyBorder="1" applyAlignment="1" applyProtection="1">
      <alignment horizontal="center" vertical="center"/>
      <protection hidden="1"/>
    </xf>
    <xf numFmtId="164" fontId="23" fillId="0" borderId="39" xfId="0" applyNumberFormat="1" applyFont="1" applyFill="1" applyBorder="1" applyAlignment="1" applyProtection="1">
      <alignment horizontal="center" vertical="center"/>
      <protection hidden="1"/>
    </xf>
    <xf numFmtId="0" fontId="72" fillId="56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Latency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Some older ECUs disallow altering breakpoints, for these instances use the Fuel Injector Latency (Fixed Break Points) table.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39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3"/>
      <c r="C14" s="14"/>
      <c r="D14" s="12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2"/>
      <c r="C17" s="12"/>
      <c r="D17" s="12"/>
      <c r="E17" s="11"/>
      <c r="F17" s="11"/>
      <c r="G17" s="12"/>
      <c r="H17" s="15"/>
      <c r="I17" s="11"/>
      <c r="J17" s="11"/>
      <c r="K17" s="11"/>
      <c r="L17" s="12"/>
      <c r="M17" s="15"/>
      <c r="N17" s="11"/>
      <c r="O17" s="11"/>
      <c r="P17" s="11"/>
      <c r="Q17" s="12"/>
      <c r="R17" s="11"/>
      <c r="S17" s="11"/>
      <c r="T17" s="11"/>
      <c r="U17" s="11"/>
      <c r="V17" s="11"/>
    </row>
    <row r="18" spans="1:22" ht="15">
      <c r="A18" s="11"/>
      <c r="B18" s="12"/>
      <c r="C18" s="12"/>
      <c r="D18" s="12"/>
      <c r="E18" s="4"/>
      <c r="F18" s="11"/>
      <c r="G18" s="16"/>
      <c r="H18" s="3"/>
      <c r="I18" s="11"/>
      <c r="J18" s="11"/>
      <c r="K18" s="11"/>
      <c r="L18" s="16"/>
      <c r="M18" s="3"/>
      <c r="N18" s="11"/>
      <c r="O18" s="11"/>
      <c r="P18" s="11"/>
      <c r="Q18" s="2"/>
      <c r="R18" s="16"/>
      <c r="S18" s="11"/>
      <c r="T18" s="11"/>
      <c r="U18" s="11"/>
      <c r="V18" s="11"/>
    </row>
    <row r="19" spans="1:22" ht="15">
      <c r="A19" s="11"/>
      <c r="B19" s="12"/>
      <c r="C19" s="12"/>
      <c r="D19" s="12"/>
      <c r="E19" s="4"/>
      <c r="F19" s="11"/>
      <c r="G19" s="16"/>
      <c r="H19" s="3"/>
      <c r="I19" s="11"/>
      <c r="J19" s="11"/>
      <c r="K19" s="11"/>
      <c r="L19" s="16"/>
      <c r="M19" s="3"/>
      <c r="N19" s="11"/>
      <c r="O19" s="11"/>
      <c r="P19" s="11"/>
      <c r="Q19" s="2"/>
      <c r="R19" s="16"/>
      <c r="S19" s="11"/>
      <c r="T19" s="11"/>
      <c r="U19" s="11"/>
      <c r="V19" s="11"/>
    </row>
    <row r="20" spans="1:22" ht="15">
      <c r="A20" s="11"/>
      <c r="B20" s="12"/>
      <c r="C20" s="12"/>
      <c r="D20" s="12"/>
      <c r="E20" s="4"/>
      <c r="F20" s="11"/>
      <c r="G20" s="16"/>
      <c r="H20" s="3"/>
      <c r="I20" s="11"/>
      <c r="J20" s="11"/>
      <c r="K20" s="11"/>
      <c r="L20" s="16"/>
      <c r="M20" s="3"/>
      <c r="N20" s="11"/>
      <c r="O20" s="11"/>
      <c r="P20" s="11"/>
      <c r="Q20" s="2"/>
      <c r="R20" s="16"/>
      <c r="S20" s="11"/>
      <c r="T20" s="11"/>
      <c r="U20" s="11"/>
      <c r="V20" s="11"/>
    </row>
    <row r="21" spans="1:22" ht="15">
      <c r="A21" s="11"/>
      <c r="B21" s="12"/>
      <c r="C21" s="12"/>
      <c r="D21" s="12"/>
      <c r="E21" s="4"/>
      <c r="F21" s="11"/>
      <c r="G21" s="16"/>
      <c r="H21" s="3"/>
      <c r="I21" s="11"/>
      <c r="J21" s="11"/>
      <c r="K21" s="11"/>
      <c r="L21" s="16"/>
      <c r="M21" s="3"/>
      <c r="N21" s="11"/>
      <c r="O21" s="11"/>
      <c r="P21" s="11"/>
      <c r="Q21" s="2"/>
      <c r="R21" s="16"/>
      <c r="S21" s="11"/>
      <c r="T21" s="11"/>
      <c r="U21" s="11"/>
      <c r="V21" s="11"/>
    </row>
    <row r="22" spans="1:22" ht="15">
      <c r="A22" s="11"/>
      <c r="B22" s="12"/>
      <c r="C22" s="11"/>
      <c r="D22" s="11"/>
      <c r="E22" s="17"/>
      <c r="F22" s="11"/>
      <c r="G22" s="16"/>
      <c r="H22" s="3"/>
      <c r="I22" s="11"/>
      <c r="J22" s="11"/>
      <c r="K22" s="11"/>
      <c r="L22" s="16"/>
      <c r="M22" s="3"/>
      <c r="N22" s="11"/>
      <c r="O22" s="11"/>
      <c r="P22" s="11"/>
      <c r="Q22" s="2"/>
      <c r="R22" s="16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6"/>
      <c r="H23" s="3"/>
      <c r="I23" s="11"/>
      <c r="J23" s="11"/>
      <c r="K23" s="11"/>
      <c r="L23" s="16"/>
      <c r="M23" s="3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2"/>
      <c r="H24" s="3"/>
      <c r="I24" s="11"/>
      <c r="J24" s="11"/>
      <c r="K24" s="11"/>
      <c r="L24" s="2"/>
      <c r="M24" s="3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2"/>
      <c r="C26" s="15"/>
      <c r="D26" s="11"/>
      <c r="E26" s="11"/>
      <c r="F26" s="11"/>
      <c r="G26" s="12"/>
      <c r="H26" s="15"/>
      <c r="I26" s="11"/>
      <c r="J26" s="11"/>
      <c r="K26" s="11"/>
      <c r="L26" s="12"/>
      <c r="M26" s="15"/>
      <c r="N26" s="11"/>
      <c r="O26" s="11"/>
      <c r="P26" s="11"/>
      <c r="Q26" s="12"/>
      <c r="R26" s="11"/>
      <c r="S26" s="11"/>
      <c r="T26" s="11"/>
      <c r="U26" s="11"/>
      <c r="V26" s="11"/>
    </row>
    <row r="27" spans="1:22" ht="15">
      <c r="A27" s="11"/>
      <c r="B27" s="17"/>
      <c r="C27" s="4"/>
      <c r="D27" s="11"/>
      <c r="E27" s="11"/>
      <c r="F27" s="11"/>
      <c r="G27" s="16"/>
      <c r="H27" s="3"/>
      <c r="I27" s="11"/>
      <c r="J27" s="11"/>
      <c r="K27" s="11"/>
      <c r="L27" s="16"/>
      <c r="M27" s="3"/>
      <c r="N27" s="11"/>
      <c r="O27" s="11"/>
      <c r="P27" s="11"/>
      <c r="Q27" s="2"/>
      <c r="R27" s="16"/>
      <c r="S27" s="11"/>
      <c r="T27" s="11"/>
      <c r="U27" s="11"/>
      <c r="V27" s="11"/>
    </row>
    <row r="28" spans="1:22" ht="15">
      <c r="A28" s="11"/>
      <c r="B28" s="17"/>
      <c r="C28" s="4"/>
      <c r="D28" s="11"/>
      <c r="E28" s="11"/>
      <c r="F28" s="11"/>
      <c r="G28" s="16"/>
      <c r="H28" s="3"/>
      <c r="I28" s="11"/>
      <c r="J28" s="11"/>
      <c r="K28" s="11"/>
      <c r="L28" s="16"/>
      <c r="M28" s="3"/>
      <c r="N28" s="11"/>
      <c r="O28" s="11"/>
      <c r="P28" s="11"/>
      <c r="Q28" s="2"/>
      <c r="R28" s="16"/>
      <c r="S28" s="11"/>
      <c r="T28" s="11"/>
      <c r="U28" s="11"/>
      <c r="V28" s="11"/>
    </row>
    <row r="29" spans="1:22" ht="15">
      <c r="A29" s="11"/>
      <c r="B29" s="17"/>
      <c r="C29" s="4"/>
      <c r="D29" s="11"/>
      <c r="E29" s="11"/>
      <c r="F29" s="11"/>
      <c r="G29" s="16"/>
      <c r="H29" s="3"/>
      <c r="I29" s="11"/>
      <c r="J29" s="11"/>
      <c r="K29" s="11"/>
      <c r="L29" s="16"/>
      <c r="M29" s="3"/>
      <c r="N29" s="11"/>
      <c r="O29" s="11"/>
      <c r="P29" s="11"/>
      <c r="Q29" s="2"/>
      <c r="R29" s="16"/>
      <c r="S29" s="11"/>
      <c r="T29" s="11"/>
      <c r="U29" s="11"/>
      <c r="V29" s="11"/>
    </row>
    <row r="30" spans="1:22" ht="15">
      <c r="A30" s="11"/>
      <c r="B30" s="17"/>
      <c r="C30" s="4"/>
      <c r="D30" s="11"/>
      <c r="E30" s="11"/>
      <c r="F30" s="11"/>
      <c r="G30" s="16"/>
      <c r="H30" s="3"/>
      <c r="I30" s="11"/>
      <c r="J30" s="11"/>
      <c r="K30" s="11"/>
      <c r="L30" s="16"/>
      <c r="M30" s="3"/>
      <c r="N30" s="11"/>
      <c r="O30" s="11"/>
      <c r="P30" s="11"/>
      <c r="Q30" s="2"/>
      <c r="R30" s="16"/>
      <c r="S30" s="11"/>
      <c r="T30" s="11"/>
      <c r="U30" s="11"/>
      <c r="V30" s="11"/>
    </row>
    <row r="31" spans="1:22" ht="15">
      <c r="A31" s="11"/>
      <c r="B31" s="17"/>
      <c r="C31" s="4"/>
      <c r="D31" s="11"/>
      <c r="E31" s="11"/>
      <c r="F31" s="11"/>
      <c r="G31" s="16"/>
      <c r="H31" s="3"/>
      <c r="I31" s="11"/>
      <c r="J31" s="11"/>
      <c r="K31" s="11"/>
      <c r="L31" s="16"/>
      <c r="M31" s="3"/>
      <c r="N31" s="11"/>
      <c r="O31" s="11"/>
      <c r="P31" s="11"/>
      <c r="Q31" s="2"/>
      <c r="R31" s="16"/>
      <c r="S31" s="11"/>
      <c r="T31" s="11"/>
      <c r="U31" s="11"/>
      <c r="V31" s="11"/>
    </row>
    <row r="32" spans="1:22" ht="15">
      <c r="A32" s="11"/>
      <c r="B32" s="17"/>
      <c r="C32" s="4"/>
      <c r="D32" s="11"/>
      <c r="E32" s="11"/>
      <c r="F32" s="11"/>
      <c r="G32" s="16"/>
      <c r="H32" s="3"/>
      <c r="I32" s="11"/>
      <c r="J32" s="11"/>
      <c r="K32" s="11"/>
      <c r="L32" s="16"/>
      <c r="M32" s="3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7"/>
      <c r="C33" s="4"/>
      <c r="D33" s="11"/>
      <c r="E33" s="11"/>
      <c r="F33" s="11"/>
      <c r="G33" s="11"/>
      <c r="H33" s="11"/>
      <c r="I33" s="11"/>
      <c r="J33" s="11"/>
      <c r="K33" s="11"/>
      <c r="L33" s="16"/>
      <c r="M33" s="3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7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7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7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8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7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7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</sheetData>
  <sheetProtection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0" customWidth="1"/>
    <col min="5" max="6" width="9.7109375" style="30" bestFit="1" customWidth="1"/>
    <col min="7" max="9" width="9.140625" style="30" customWidth="1"/>
    <col min="10" max="10" width="8.00390625" style="30" bestFit="1" customWidth="1"/>
    <col min="11" max="11" width="9.57421875" style="30" bestFit="1" customWidth="1"/>
    <col min="12" max="14" width="9.140625" style="30" customWidth="1"/>
    <col min="15" max="15" width="10.7109375" style="30" customWidth="1"/>
    <col min="16" max="16384" width="9.140625" style="3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1" t="s">
        <v>24</v>
      </c>
      <c r="D13" s="32"/>
      <c r="F13" s="31" t="s">
        <v>1</v>
      </c>
      <c r="G13" s="32"/>
      <c r="J13" s="178">
        <f>IF(FPX&lt;29,"** FUEL PRESSURE MUST BE BETWEEN 29 AND 87 PSID **",IF(FPX&gt;87,"** FUEL PRESSURE MUST BE BETWEEN 29 AND 87 PSID **",""))</f>
      </c>
      <c r="K13" s="178"/>
      <c r="L13" s="178"/>
      <c r="M13" s="178"/>
      <c r="N13" s="178"/>
      <c r="O13" s="178"/>
    </row>
    <row r="14" spans="3:15" ht="15">
      <c r="C14" s="108">
        <v>10</v>
      </c>
      <c r="D14" s="32"/>
      <c r="E14" s="33"/>
      <c r="F14" s="29">
        <v>43.5</v>
      </c>
      <c r="G14" s="34" t="s">
        <v>4</v>
      </c>
      <c r="J14" s="178">
        <f>IF(ETH&lt;0,"** ETHANOL CONTENT MUST BE BETWEEN 0 AND 100 **",IF(ETH&gt;100,"** ETHANOL CONTENT MUST BE BETWEEN 0 AND 100 **",""))</f>
      </c>
      <c r="K14" s="178"/>
      <c r="L14" s="178"/>
      <c r="M14" s="178"/>
      <c r="N14" s="178"/>
      <c r="O14" s="178"/>
    </row>
    <row r="15" spans="2:20" ht="15">
      <c r="B15" s="32"/>
      <c r="C15" s="32"/>
      <c r="D15" s="32"/>
      <c r="E15" s="32"/>
      <c r="F15" s="32"/>
      <c r="G15" s="32"/>
      <c r="H15" s="32"/>
      <c r="I15" s="32"/>
      <c r="J15" s="178">
        <f>IF('Background Math'!Q23="N/A","** DOES NOT OPEN AT SPECIFIED VOLTAGE &amp; PRESSURE **","")</f>
      </c>
      <c r="K15" s="178"/>
      <c r="L15" s="178"/>
      <c r="M15" s="178"/>
      <c r="N15" s="178"/>
      <c r="O15" s="178"/>
      <c r="P15" s="33"/>
      <c r="Q15" s="33"/>
      <c r="R15" s="33"/>
      <c r="S15" s="32"/>
      <c r="T15" s="32"/>
    </row>
    <row r="16" spans="3:20" ht="15">
      <c r="C16" s="87" t="s">
        <v>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15">
      <c r="B17" s="85" t="s">
        <v>5</v>
      </c>
      <c r="C17" s="153">
        <f>'Background Math'!C10</f>
        <v>0.333</v>
      </c>
      <c r="D17" s="153">
        <f>'Background Math'!C11</f>
        <v>0.439</v>
      </c>
      <c r="E17" s="153">
        <f>'Background Math'!C12</f>
        <v>0.578</v>
      </c>
      <c r="F17" s="153">
        <f>'Background Math'!C13</f>
        <v>0.762</v>
      </c>
      <c r="G17" s="153">
        <f>'Background Math'!C14</f>
        <v>1.005</v>
      </c>
      <c r="H17" s="153">
        <f>'Background Math'!C15</f>
        <v>1.324</v>
      </c>
      <c r="I17" s="153">
        <f>'Background Math'!C16</f>
        <v>1.745</v>
      </c>
      <c r="J17" s="153">
        <f>'Background Math'!C17</f>
        <v>2.3</v>
      </c>
      <c r="K17" s="41"/>
      <c r="L17" s="40"/>
      <c r="M17" s="72"/>
      <c r="N17" s="41"/>
      <c r="O17" s="41"/>
      <c r="P17" s="41"/>
      <c r="Q17" s="40"/>
      <c r="R17" s="41"/>
      <c r="S17" s="41"/>
      <c r="T17" s="41"/>
    </row>
    <row r="18" spans="2:20" ht="15">
      <c r="B18" s="85" t="s">
        <v>6</v>
      </c>
      <c r="C18" s="154">
        <f>'Background Math'!N10</f>
        <v>27.3</v>
      </c>
      <c r="D18" s="154">
        <f>'Background Math'!N11</f>
        <v>21.9</v>
      </c>
      <c r="E18" s="154">
        <f>'Background Math'!N12</f>
        <v>13.3</v>
      </c>
      <c r="F18" s="154">
        <f>'Background Math'!N13</f>
        <v>6.3</v>
      </c>
      <c r="G18" s="154">
        <f>'Background Math'!N14</f>
        <v>3.9</v>
      </c>
      <c r="H18" s="154">
        <f>'Background Math'!N15</f>
        <v>1.6</v>
      </c>
      <c r="I18" s="154">
        <f>'Background Math'!N16</f>
        <v>0.8</v>
      </c>
      <c r="J18" s="154">
        <f>'Background Math'!N17</f>
        <v>0</v>
      </c>
      <c r="K18" s="41"/>
      <c r="R18" s="74"/>
      <c r="S18" s="41"/>
      <c r="T18" s="41"/>
    </row>
    <row r="19" spans="3:20" ht="15">
      <c r="C19" s="155"/>
      <c r="D19" s="156"/>
      <c r="E19" s="73"/>
      <c r="F19" s="157"/>
      <c r="G19" s="158"/>
      <c r="H19" s="159"/>
      <c r="I19" s="157"/>
      <c r="J19" s="157"/>
      <c r="K19" s="41"/>
      <c r="L19" s="74"/>
      <c r="M19" s="36"/>
      <c r="O19" s="41"/>
      <c r="P19" s="41"/>
      <c r="Q19" s="35"/>
      <c r="R19" s="74"/>
      <c r="S19" s="41"/>
      <c r="T19" s="41"/>
    </row>
    <row r="20" spans="3:20" ht="15">
      <c r="C20" s="160" t="s">
        <v>8</v>
      </c>
      <c r="D20" s="156"/>
      <c r="E20" s="73"/>
      <c r="F20" s="157"/>
      <c r="G20" s="158"/>
      <c r="H20" s="159"/>
      <c r="J20" s="160" t="s">
        <v>45</v>
      </c>
      <c r="K20" s="156"/>
      <c r="L20" s="73"/>
      <c r="M20" s="157"/>
      <c r="N20" s="158"/>
      <c r="O20" s="41"/>
      <c r="P20" s="41"/>
      <c r="Q20" s="35"/>
      <c r="R20" s="74"/>
      <c r="S20" s="41"/>
      <c r="T20" s="41"/>
    </row>
    <row r="21" spans="2:20" ht="15">
      <c r="B21" s="86" t="s">
        <v>17</v>
      </c>
      <c r="C21" s="161">
        <v>8</v>
      </c>
      <c r="D21" s="88">
        <v>10</v>
      </c>
      <c r="E21" s="88">
        <v>12</v>
      </c>
      <c r="F21" s="161">
        <v>14</v>
      </c>
      <c r="G21" s="88">
        <v>16</v>
      </c>
      <c r="H21" s="159"/>
      <c r="I21" s="86" t="s">
        <v>17</v>
      </c>
      <c r="J21" s="161">
        <v>6.5</v>
      </c>
      <c r="K21" s="88">
        <v>9</v>
      </c>
      <c r="L21" s="88">
        <v>11.5</v>
      </c>
      <c r="M21" s="161">
        <v>14</v>
      </c>
      <c r="N21" s="88">
        <v>16.5</v>
      </c>
      <c r="O21" s="41"/>
      <c r="P21" s="41"/>
      <c r="Q21" s="35"/>
      <c r="R21" s="74"/>
      <c r="S21" s="41"/>
      <c r="T21" s="41"/>
    </row>
    <row r="22" spans="2:20" ht="15">
      <c r="B22" s="86" t="s">
        <v>9</v>
      </c>
      <c r="C22" s="161">
        <f>'Background Math'!Q23</f>
        <v>2.59860632282639</v>
      </c>
      <c r="D22" s="161">
        <f>'Background Math'!R23</f>
        <v>1.6907649761459804</v>
      </c>
      <c r="E22" s="161">
        <f>'Background Math'!S23</f>
        <v>1.2454393771375847</v>
      </c>
      <c r="F22" s="161">
        <f>'Background Math'!T23</f>
        <v>0.9765007793407071</v>
      </c>
      <c r="G22" s="161">
        <f>'Background Math'!U23</f>
        <v>0.7858983470516979</v>
      </c>
      <c r="H22" s="159"/>
      <c r="I22" s="86" t="s">
        <v>9</v>
      </c>
      <c r="J22" s="161">
        <f>'Background Math'!Q27</f>
        <v>3.5830132922464544</v>
      </c>
      <c r="K22" s="161">
        <f>'Background Math'!R27</f>
        <v>2.086871181027183</v>
      </c>
      <c r="L22" s="161">
        <f>'Background Math'!S27</f>
        <v>1.3335283530309359</v>
      </c>
      <c r="M22" s="161">
        <f>'Background Math'!T27</f>
        <v>0.9765007793407071</v>
      </c>
      <c r="N22" s="161">
        <f>'Background Math'!U27</f>
        <v>0.7504877648400501</v>
      </c>
      <c r="O22" s="41"/>
      <c r="P22" s="41"/>
      <c r="Q22" s="35"/>
      <c r="R22" s="74"/>
      <c r="S22" s="41"/>
      <c r="T22" s="41"/>
    </row>
    <row r="23" spans="3:20" ht="15">
      <c r="C23" s="155"/>
      <c r="D23" s="156"/>
      <c r="E23" s="75"/>
      <c r="F23" s="157"/>
      <c r="G23" s="158"/>
      <c r="H23" s="159"/>
      <c r="I23" s="157"/>
      <c r="J23" s="157"/>
      <c r="K23" s="41"/>
      <c r="L23" s="74"/>
      <c r="M23" s="36"/>
      <c r="N23" s="41"/>
      <c r="O23" s="41"/>
      <c r="P23" s="41"/>
      <c r="Q23" s="41"/>
      <c r="R23" s="41"/>
      <c r="S23" s="41"/>
      <c r="T23" s="41"/>
    </row>
    <row r="24" spans="2:20" ht="15">
      <c r="B24" s="32"/>
      <c r="C24" s="160" t="s">
        <v>10</v>
      </c>
      <c r="D24" s="157"/>
      <c r="E24" s="157"/>
      <c r="F24" s="157"/>
      <c r="G24" s="162"/>
      <c r="H24" s="159"/>
      <c r="I24" s="157"/>
      <c r="J24" s="157"/>
      <c r="K24" s="41"/>
      <c r="L24" s="35"/>
      <c r="M24" s="36"/>
      <c r="N24" s="41"/>
      <c r="O24" s="41"/>
      <c r="P24" s="41"/>
      <c r="Q24" s="41"/>
      <c r="R24" s="41"/>
      <c r="S24" s="41"/>
      <c r="T24" s="41"/>
    </row>
    <row r="25" spans="2:20" ht="15">
      <c r="B25" s="77" t="s">
        <v>11</v>
      </c>
      <c r="C25" s="163">
        <f>IF(ETH&gt;100,"ERROR",IF(ETH&lt;0,"ERROR",'Background Math'!L31))</f>
        <v>2840.7236697733556</v>
      </c>
      <c r="D25" s="157"/>
      <c r="E25" s="157"/>
      <c r="F25" s="157"/>
      <c r="G25" s="157"/>
      <c r="H25" s="157"/>
      <c r="I25" s="157"/>
      <c r="J25" s="157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5">
      <c r="B26" s="40"/>
      <c r="C26" s="164"/>
      <c r="D26" s="157"/>
      <c r="E26" s="157"/>
      <c r="F26" s="157"/>
      <c r="G26" s="156"/>
      <c r="H26" s="164"/>
      <c r="I26" s="157"/>
      <c r="J26" s="157"/>
      <c r="K26" s="41"/>
      <c r="L26" s="40"/>
      <c r="M26" s="72"/>
      <c r="N26" s="41"/>
      <c r="O26" s="41"/>
      <c r="P26" s="41"/>
      <c r="Q26" s="40"/>
      <c r="R26" s="41"/>
      <c r="S26" s="41"/>
      <c r="T26" s="41"/>
    </row>
    <row r="27" spans="2:20" ht="15">
      <c r="B27" s="76"/>
      <c r="C27" s="160" t="s">
        <v>12</v>
      </c>
      <c r="D27" s="157"/>
      <c r="E27" s="157"/>
      <c r="F27" s="157"/>
      <c r="G27" s="158"/>
      <c r="H27" s="159"/>
      <c r="I27" s="157"/>
      <c r="J27" s="157"/>
      <c r="K27" s="41"/>
      <c r="L27" s="74"/>
      <c r="M27" s="36"/>
      <c r="N27" s="41"/>
      <c r="O27" s="41"/>
      <c r="P27" s="41"/>
      <c r="Q27" s="35"/>
      <c r="R27" s="74"/>
      <c r="S27" s="41"/>
      <c r="T27" s="41"/>
    </row>
    <row r="28" spans="2:20" ht="15">
      <c r="B28" s="89" t="s">
        <v>14</v>
      </c>
      <c r="C28" s="165">
        <f>C17</f>
        <v>0.333</v>
      </c>
      <c r="D28" s="157"/>
      <c r="E28" s="157"/>
      <c r="F28" s="157"/>
      <c r="G28" s="158"/>
      <c r="H28" s="159"/>
      <c r="I28" s="157"/>
      <c r="J28" s="157"/>
      <c r="K28" s="41"/>
      <c r="L28" s="74"/>
      <c r="M28" s="36"/>
      <c r="N28" s="41"/>
      <c r="O28" s="41"/>
      <c r="P28" s="41"/>
      <c r="Q28" s="35"/>
      <c r="R28" s="74"/>
      <c r="S28" s="41"/>
      <c r="T28" s="41"/>
    </row>
    <row r="29" spans="2:20" ht="15">
      <c r="B29" s="76"/>
      <c r="C29" s="73"/>
      <c r="D29" s="157"/>
      <c r="E29" s="157"/>
      <c r="F29" s="157"/>
      <c r="G29" s="158"/>
      <c r="H29" s="159"/>
      <c r="I29" s="157"/>
      <c r="J29" s="157"/>
      <c r="K29" s="41"/>
      <c r="L29" s="74"/>
      <c r="M29" s="36"/>
      <c r="N29" s="41"/>
      <c r="O29" s="41"/>
      <c r="P29" s="41"/>
      <c r="Q29" s="35"/>
      <c r="R29" s="74"/>
      <c r="S29" s="41"/>
      <c r="T29" s="41"/>
    </row>
    <row r="30" spans="2:20" ht="15">
      <c r="B30" s="76"/>
      <c r="C30" s="160" t="s">
        <v>13</v>
      </c>
      <c r="D30" s="157"/>
      <c r="E30" s="157"/>
      <c r="F30" s="157"/>
      <c r="G30" s="158"/>
      <c r="H30" s="159"/>
      <c r="I30" s="157"/>
      <c r="J30" s="157"/>
      <c r="K30" s="41"/>
      <c r="L30" s="74"/>
      <c r="M30" s="36"/>
      <c r="N30" s="41"/>
      <c r="O30" s="41"/>
      <c r="P30" s="41"/>
      <c r="Q30" s="35"/>
      <c r="R30" s="74"/>
      <c r="S30" s="41"/>
      <c r="T30" s="41"/>
    </row>
    <row r="31" spans="2:20" ht="15">
      <c r="B31" s="89" t="s">
        <v>14</v>
      </c>
      <c r="C31" s="165">
        <f>J17</f>
        <v>2.3</v>
      </c>
      <c r="D31" s="157"/>
      <c r="E31" s="157"/>
      <c r="F31" s="157"/>
      <c r="G31" s="158"/>
      <c r="H31" s="159"/>
      <c r="I31" s="157"/>
      <c r="J31" s="157"/>
      <c r="K31" s="41"/>
      <c r="L31" s="74"/>
      <c r="M31" s="36"/>
      <c r="N31" s="41"/>
      <c r="O31" s="41"/>
      <c r="P31" s="41"/>
      <c r="Q31" s="35"/>
      <c r="R31" s="74"/>
      <c r="S31" s="41"/>
      <c r="T31" s="41"/>
    </row>
    <row r="32" spans="2:20" ht="15">
      <c r="B32" s="76"/>
      <c r="C32" s="73"/>
      <c r="D32" s="157"/>
      <c r="E32" s="157"/>
      <c r="F32" s="157"/>
      <c r="G32" s="158"/>
      <c r="H32" s="159"/>
      <c r="I32" s="157"/>
      <c r="J32" s="157"/>
      <c r="K32" s="41"/>
      <c r="L32" s="74"/>
      <c r="M32" s="36"/>
      <c r="N32" s="41"/>
      <c r="O32" s="41"/>
      <c r="P32" s="41"/>
      <c r="Q32" s="41"/>
      <c r="R32" s="41"/>
      <c r="S32" s="41"/>
      <c r="T32" s="41"/>
    </row>
    <row r="33" spans="2:20" ht="15">
      <c r="B33" s="76"/>
      <c r="C33" s="160" t="s">
        <v>15</v>
      </c>
      <c r="D33" s="157"/>
      <c r="E33" s="157"/>
      <c r="F33" s="157"/>
      <c r="G33" s="157"/>
      <c r="H33" s="157"/>
      <c r="I33" s="157"/>
      <c r="J33" s="157"/>
      <c r="K33" s="41"/>
      <c r="L33" s="74"/>
      <c r="M33" s="36"/>
      <c r="N33" s="41"/>
      <c r="O33" s="41"/>
      <c r="P33" s="41"/>
      <c r="Q33" s="41"/>
      <c r="R33" s="41"/>
      <c r="S33" s="41"/>
      <c r="T33" s="41"/>
    </row>
    <row r="34" spans="2:20" ht="15">
      <c r="B34" s="89" t="s">
        <v>16</v>
      </c>
      <c r="C34" s="166">
        <v>10000</v>
      </c>
      <c r="D34" s="157"/>
      <c r="E34" s="157"/>
      <c r="F34" s="157"/>
      <c r="G34" s="157"/>
      <c r="H34" s="157"/>
      <c r="I34" s="157"/>
      <c r="J34" s="157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5">
      <c r="B35" s="76"/>
      <c r="C35" s="7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5">
      <c r="B36" s="76"/>
      <c r="C36" s="73"/>
      <c r="D36" s="41"/>
      <c r="E36" s="41"/>
      <c r="F36" s="41"/>
      <c r="G36" s="41"/>
      <c r="H36" s="41"/>
      <c r="I36" s="41"/>
      <c r="J36" s="41"/>
      <c r="K36" s="41"/>
      <c r="L36" s="41"/>
      <c r="M36" s="77"/>
      <c r="N36" s="41"/>
      <c r="O36" s="41"/>
      <c r="P36" s="41"/>
      <c r="Q36" s="41"/>
      <c r="R36" s="41"/>
      <c r="S36" s="41"/>
      <c r="T36" s="41"/>
    </row>
    <row r="37" spans="2:20" ht="15">
      <c r="B37" s="76"/>
      <c r="C37" s="7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5">
      <c r="B38" s="76"/>
      <c r="C38" s="7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</sheetData>
  <sheetProtection password="C787" sheet="1"/>
  <mergeCells count="3">
    <mergeCell ref="J14:O14"/>
    <mergeCell ref="J13:O13"/>
    <mergeCell ref="J15:O15"/>
  </mergeCells>
  <conditionalFormatting sqref="J14:O14">
    <cfRule type="containsText" priority="8" dxfId="0" operator="containsText" stopIfTrue="1" text="ETHANOL">
      <formula>NOT(ISERROR(SEARCH("ETHANOL",J14)))</formula>
    </cfRule>
  </conditionalFormatting>
  <conditionalFormatting sqref="J13:O13">
    <cfRule type="containsText" priority="6" dxfId="0" operator="containsText" stopIfTrue="1" text="FUEL">
      <formula>NOT(ISERROR(SEARCH("FUEL",J13)))</formula>
    </cfRule>
  </conditionalFormatting>
  <conditionalFormatting sqref="J15:O15">
    <cfRule type="containsText" priority="4" dxfId="0" operator="containsText" stopIfTrue="1" text="NOT">
      <formula>NOT(ISERROR(SEARCH("NOT",J15)))</formula>
    </cfRule>
  </conditionalFormatting>
  <conditionalFormatting sqref="C22">
    <cfRule type="containsText" priority="3" dxfId="0" operator="containsText" stopIfTrue="1" text="N/A">
      <formula>NOT(ISERROR(SEARCH("N/A",C22)))</formula>
    </cfRule>
  </conditionalFormatting>
  <conditionalFormatting sqref="J22">
    <cfRule type="containsText" priority="1" dxfId="0" operator="containsText" stopIfTrue="1" text="N/A">
      <formula>NOT(ISERROR(SEARCH("N/A",J22)))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37" customWidth="1"/>
    <col min="2" max="16384" width="9.140625" style="137" customWidth="1"/>
  </cols>
  <sheetData>
    <row r="1" ht="12.75">
      <c r="A1" s="136" t="s">
        <v>39</v>
      </c>
    </row>
    <row r="2" spans="2:9" ht="12.75">
      <c r="B2" s="138">
        <v>41859</v>
      </c>
      <c r="C2" s="167" t="s">
        <v>44</v>
      </c>
      <c r="D2" s="168"/>
      <c r="E2" s="168"/>
      <c r="F2" s="168"/>
      <c r="G2" s="168"/>
      <c r="H2" s="168"/>
      <c r="I2" s="169"/>
    </row>
    <row r="4" spans="2:9" ht="12.75">
      <c r="B4" s="138">
        <v>41716</v>
      </c>
      <c r="C4" s="139" t="s">
        <v>41</v>
      </c>
      <c r="D4" s="140"/>
      <c r="E4" s="140"/>
      <c r="F4" s="140"/>
      <c r="G4" s="140"/>
      <c r="H4" s="140"/>
      <c r="I4" s="141"/>
    </row>
    <row r="5" spans="3:9" ht="12.75">
      <c r="C5" s="142" t="s">
        <v>42</v>
      </c>
      <c r="D5" s="143"/>
      <c r="E5" s="143"/>
      <c r="F5" s="143"/>
      <c r="G5" s="143"/>
      <c r="H5" s="143"/>
      <c r="I5" s="144"/>
    </row>
    <row r="6" spans="3:9" ht="12.75">
      <c r="C6" s="145" t="s">
        <v>40</v>
      </c>
      <c r="D6" s="146"/>
      <c r="E6" s="146"/>
      <c r="F6" s="146"/>
      <c r="G6" s="146"/>
      <c r="H6" s="146"/>
      <c r="I6" s="14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0"/>
      <c r="C3" s="28"/>
      <c r="D3" s="19"/>
      <c r="E3" s="39" t="s">
        <v>38</v>
      </c>
      <c r="F3" s="37"/>
      <c r="G3" s="38"/>
      <c r="H3" s="38"/>
      <c r="I3" s="39" t="s">
        <v>3</v>
      </c>
      <c r="J3" s="19"/>
      <c r="K3" s="19"/>
      <c r="L3" s="19"/>
      <c r="M3" s="19"/>
      <c r="N3" s="19"/>
      <c r="O3" s="19"/>
    </row>
    <row r="4" spans="2:15" ht="12.75">
      <c r="B4" s="20"/>
      <c r="C4" s="20"/>
      <c r="D4" s="19"/>
      <c r="E4" s="27">
        <f>FPX</f>
        <v>43.5</v>
      </c>
      <c r="F4" s="19"/>
      <c r="G4" s="19"/>
      <c r="H4" s="19"/>
      <c r="I4" s="27">
        <f>IF(FPX=29,D8+0.001,IF(FPX=H8,H8-0.000001,IF(FPX=70,69.9999,FPX)))</f>
        <v>43.5</v>
      </c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1" ht="12.75">
      <c r="B6" s="20"/>
      <c r="C6" s="20"/>
      <c r="D6" s="20"/>
      <c r="E6" s="20"/>
      <c r="F6" s="20"/>
      <c r="G6" s="20"/>
      <c r="H6" s="20"/>
      <c r="I6" s="19"/>
      <c r="J6" s="19"/>
      <c r="K6" s="20"/>
      <c r="L6" s="20"/>
      <c r="M6" s="20"/>
      <c r="N6" s="20"/>
      <c r="O6" s="20"/>
      <c r="P6" s="7"/>
      <c r="Q6" s="7"/>
      <c r="R6" s="7"/>
      <c r="S6" s="7"/>
      <c r="T6" s="7"/>
      <c r="U6" s="7"/>
    </row>
    <row r="7" spans="2:21" ht="14.25">
      <c r="B7" s="43"/>
      <c r="C7" s="21"/>
      <c r="D7" s="21"/>
      <c r="E7" s="21"/>
      <c r="F7" s="22"/>
      <c r="G7" s="20"/>
      <c r="H7" s="44"/>
      <c r="I7" s="45"/>
      <c r="J7" s="46"/>
      <c r="K7" s="19"/>
      <c r="L7" s="21"/>
      <c r="M7" s="22"/>
      <c r="N7" s="23"/>
      <c r="O7" s="23"/>
      <c r="P7" s="9"/>
      <c r="U7" s="9"/>
    </row>
    <row r="8" spans="2:21" ht="12.75">
      <c r="B8" s="21" t="s">
        <v>20</v>
      </c>
      <c r="C8" s="22"/>
      <c r="D8" s="55">
        <v>29.01</v>
      </c>
      <c r="E8" s="55">
        <v>43.51</v>
      </c>
      <c r="F8" s="56">
        <v>58.02</v>
      </c>
      <c r="G8" s="56">
        <v>72.52</v>
      </c>
      <c r="H8" s="56">
        <v>87.02</v>
      </c>
      <c r="I8" s="48"/>
      <c r="J8" s="48"/>
      <c r="K8" s="19"/>
      <c r="L8" s="42"/>
      <c r="M8" s="25"/>
      <c r="N8" s="23"/>
      <c r="O8" s="23"/>
      <c r="P8" s="9"/>
      <c r="U8" s="10"/>
    </row>
    <row r="9" spans="2:21" ht="13.5" thickBot="1">
      <c r="B9" s="21"/>
      <c r="C9" s="22"/>
      <c r="D9" s="55">
        <v>2</v>
      </c>
      <c r="E9" s="55">
        <v>3</v>
      </c>
      <c r="F9" s="56">
        <v>4</v>
      </c>
      <c r="G9" s="56">
        <v>5</v>
      </c>
      <c r="H9" s="56">
        <v>6</v>
      </c>
      <c r="I9" s="48"/>
      <c r="J9" s="48"/>
      <c r="K9" s="19"/>
      <c r="L9" s="57" t="s">
        <v>2</v>
      </c>
      <c r="M9" s="152" t="s">
        <v>43</v>
      </c>
      <c r="N9" s="78" t="s">
        <v>0</v>
      </c>
      <c r="O9" s="23"/>
      <c r="P9" s="9"/>
      <c r="U9" s="10"/>
    </row>
    <row r="10" spans="2:21" ht="12.75">
      <c r="B10" s="21"/>
      <c r="C10" s="57">
        <v>0.333</v>
      </c>
      <c r="D10" s="60">
        <v>33.7</v>
      </c>
      <c r="E10" s="61">
        <v>27.1</v>
      </c>
      <c r="F10" s="62">
        <v>19.86</v>
      </c>
      <c r="G10" s="62">
        <v>17.36</v>
      </c>
      <c r="H10" s="63">
        <v>14.89</v>
      </c>
      <c r="I10" s="48"/>
      <c r="J10" s="48"/>
      <c r="K10" s="82">
        <f>C10</f>
        <v>0.333</v>
      </c>
      <c r="L10" s="79">
        <f aca="true" ca="1" t="shared" si="0" ref="L10:L17">FORECAST(FP,OFFSET(D10:H10,0,MATCH(FP,FPIN,1)-1,1,2),OFFSET(FPIN,0,MATCH(FP,FPIN,1)-1,1,2))</f>
        <v>27.10455172413793</v>
      </c>
      <c r="M10" s="148">
        <f>ROUND((ROUND(((L10+100)/0.78125),0)*0.78125-100),1)</f>
        <v>27.3</v>
      </c>
      <c r="N10" s="148">
        <f aca="true" t="shared" si="1" ref="N10:N17">IF(FP&lt;29,"ERROR",IF(FP&gt;87,"ERROR",M10))</f>
        <v>27.3</v>
      </c>
      <c r="O10" s="23"/>
      <c r="P10" s="9"/>
      <c r="U10" s="10"/>
    </row>
    <row r="11" spans="2:21" ht="12.75">
      <c r="B11" s="21"/>
      <c r="C11" s="57">
        <v>0.439</v>
      </c>
      <c r="D11" s="64">
        <v>22.43</v>
      </c>
      <c r="E11" s="42">
        <v>22.23</v>
      </c>
      <c r="F11" s="65">
        <v>17.78</v>
      </c>
      <c r="G11" s="65">
        <v>16.12</v>
      </c>
      <c r="H11" s="66">
        <v>14.8</v>
      </c>
      <c r="I11" s="20"/>
      <c r="J11" s="20"/>
      <c r="K11" s="83">
        <f aca="true" t="shared" si="2" ref="K11:K17">C11</f>
        <v>0.439</v>
      </c>
      <c r="L11" s="80">
        <f ca="1" t="shared" si="0"/>
        <v>22.23013793103448</v>
      </c>
      <c r="M11" s="149">
        <f aca="true" t="shared" si="3" ref="M11:M17">ROUND((ROUND(((L11+100)/0.78125),0)*0.78125-100),1)</f>
        <v>21.9</v>
      </c>
      <c r="N11" s="149">
        <f t="shared" si="1"/>
        <v>21.9</v>
      </c>
      <c r="O11" s="23"/>
      <c r="P11" s="9"/>
      <c r="U11" s="10"/>
    </row>
    <row r="12" spans="2:21" ht="12.75">
      <c r="B12" s="21"/>
      <c r="C12" s="58">
        <v>0.578</v>
      </c>
      <c r="D12" s="67">
        <v>15.69</v>
      </c>
      <c r="E12" s="65">
        <v>13.64</v>
      </c>
      <c r="F12" s="65">
        <v>9.55</v>
      </c>
      <c r="G12" s="65">
        <v>8.59</v>
      </c>
      <c r="H12" s="66">
        <v>8.16</v>
      </c>
      <c r="I12" s="20"/>
      <c r="J12" s="20"/>
      <c r="K12" s="83">
        <f t="shared" si="2"/>
        <v>0.578</v>
      </c>
      <c r="L12" s="80">
        <f ca="1" t="shared" si="0"/>
        <v>13.641413793103446</v>
      </c>
      <c r="M12" s="149">
        <f t="shared" si="3"/>
        <v>13.3</v>
      </c>
      <c r="N12" s="149">
        <f t="shared" si="1"/>
        <v>13.3</v>
      </c>
      <c r="O12" s="23"/>
      <c r="P12" s="9"/>
      <c r="U12" s="10"/>
    </row>
    <row r="13" spans="2:21" ht="12.75">
      <c r="B13" s="20"/>
      <c r="C13" s="57">
        <v>0.762</v>
      </c>
      <c r="D13" s="64">
        <v>6.92</v>
      </c>
      <c r="E13" s="42">
        <v>5.87</v>
      </c>
      <c r="F13" s="42">
        <v>3.85</v>
      </c>
      <c r="G13" s="68">
        <v>3.6</v>
      </c>
      <c r="H13" s="66">
        <v>3.16</v>
      </c>
      <c r="I13" s="49"/>
      <c r="J13" s="50"/>
      <c r="K13" s="83">
        <f t="shared" si="2"/>
        <v>0.762</v>
      </c>
      <c r="L13" s="80">
        <f ca="1" t="shared" si="0"/>
        <v>5.870724137931033</v>
      </c>
      <c r="M13" s="149">
        <f t="shared" si="3"/>
        <v>6.3</v>
      </c>
      <c r="N13" s="149">
        <f t="shared" si="1"/>
        <v>6.3</v>
      </c>
      <c r="O13" s="23"/>
      <c r="P13" s="9"/>
      <c r="U13" s="9"/>
    </row>
    <row r="14" spans="2:21" ht="12.75">
      <c r="B14" s="20"/>
      <c r="C14" s="57">
        <v>1.005</v>
      </c>
      <c r="D14" s="64">
        <v>4.37</v>
      </c>
      <c r="E14" s="42">
        <v>3.77</v>
      </c>
      <c r="F14" s="42">
        <v>2.16</v>
      </c>
      <c r="G14" s="68">
        <v>2.16</v>
      </c>
      <c r="H14" s="66">
        <v>1.97</v>
      </c>
      <c r="I14" s="47"/>
      <c r="J14" s="52"/>
      <c r="K14" s="83">
        <f t="shared" si="2"/>
        <v>1.005</v>
      </c>
      <c r="L14" s="80">
        <f ca="1" t="shared" si="0"/>
        <v>3.7704137931034483</v>
      </c>
      <c r="M14" s="149">
        <f t="shared" si="3"/>
        <v>3.9</v>
      </c>
      <c r="N14" s="151">
        <f t="shared" si="1"/>
        <v>3.9</v>
      </c>
      <c r="O14" s="23"/>
      <c r="P14" s="9"/>
      <c r="U14" s="9"/>
    </row>
    <row r="15" spans="2:21" ht="12.75">
      <c r="B15" s="20"/>
      <c r="C15" s="57">
        <v>1.324</v>
      </c>
      <c r="D15" s="64">
        <v>2.03</v>
      </c>
      <c r="E15" s="42">
        <v>1.39</v>
      </c>
      <c r="F15" s="42">
        <v>0.29</v>
      </c>
      <c r="G15" s="68">
        <v>0.33</v>
      </c>
      <c r="H15" s="66">
        <v>0.23</v>
      </c>
      <c r="I15" s="47"/>
      <c r="J15" s="52"/>
      <c r="K15" s="83">
        <f t="shared" si="2"/>
        <v>1.324</v>
      </c>
      <c r="L15" s="80">
        <f ca="1" t="shared" si="0"/>
        <v>1.3904413793103447</v>
      </c>
      <c r="M15" s="149">
        <f t="shared" si="3"/>
        <v>1.6</v>
      </c>
      <c r="N15" s="149">
        <f t="shared" si="1"/>
        <v>1.6</v>
      </c>
      <c r="O15" s="23"/>
      <c r="P15" s="9"/>
      <c r="Q15" s="9"/>
      <c r="R15" s="9"/>
      <c r="S15" s="9"/>
      <c r="T15" s="9"/>
      <c r="U15" s="9"/>
    </row>
    <row r="16" spans="2:21" ht="12.75">
      <c r="B16" s="20"/>
      <c r="C16" s="57">
        <v>1.745</v>
      </c>
      <c r="D16" s="64">
        <v>1.42</v>
      </c>
      <c r="E16" s="42">
        <v>0.93</v>
      </c>
      <c r="F16" s="42">
        <v>0.22</v>
      </c>
      <c r="G16" s="68">
        <v>0.05</v>
      </c>
      <c r="H16" s="66">
        <v>0.07</v>
      </c>
      <c r="I16" s="47"/>
      <c r="J16" s="52"/>
      <c r="K16" s="83">
        <f t="shared" si="2"/>
        <v>1.745</v>
      </c>
      <c r="L16" s="80">
        <f ca="1" t="shared" si="0"/>
        <v>0.9303379310344826</v>
      </c>
      <c r="M16" s="149">
        <f t="shared" si="3"/>
        <v>0.8</v>
      </c>
      <c r="N16" s="149">
        <f t="shared" si="1"/>
        <v>0.8</v>
      </c>
      <c r="O16" s="23"/>
      <c r="P16" s="9"/>
      <c r="T16" s="8"/>
      <c r="U16" s="9"/>
    </row>
    <row r="17" spans="2:21" ht="13.5" thickBot="1">
      <c r="B17" s="20"/>
      <c r="C17" s="57">
        <v>2.3</v>
      </c>
      <c r="D17" s="69">
        <v>0</v>
      </c>
      <c r="E17" s="59">
        <v>0</v>
      </c>
      <c r="F17" s="59">
        <v>0</v>
      </c>
      <c r="G17" s="70">
        <v>0</v>
      </c>
      <c r="H17" s="71">
        <v>0</v>
      </c>
      <c r="I17" s="47"/>
      <c r="J17" s="52"/>
      <c r="K17" s="84">
        <f t="shared" si="2"/>
        <v>2.3</v>
      </c>
      <c r="L17" s="81">
        <f ca="1" t="shared" si="0"/>
        <v>0</v>
      </c>
      <c r="M17" s="150">
        <f t="shared" si="3"/>
        <v>0</v>
      </c>
      <c r="N17" s="150">
        <f t="shared" si="1"/>
        <v>0</v>
      </c>
      <c r="O17" s="23"/>
      <c r="P17" s="9"/>
      <c r="T17" s="6"/>
      <c r="U17" s="10"/>
    </row>
    <row r="18" spans="2:21" ht="12.75">
      <c r="B18" s="20"/>
      <c r="C18" s="51"/>
      <c r="D18" s="47"/>
      <c r="E18" s="42"/>
      <c r="F18" s="25"/>
      <c r="G18" s="23"/>
      <c r="H18" s="20"/>
      <c r="I18" s="47"/>
      <c r="J18" s="52"/>
      <c r="K18" s="19"/>
      <c r="L18" s="42"/>
      <c r="M18" s="25"/>
      <c r="N18" s="23"/>
      <c r="O18" s="23"/>
      <c r="P18" s="9"/>
      <c r="T18" s="6"/>
      <c r="U18" s="10"/>
    </row>
    <row r="19" spans="2:21" ht="12.75">
      <c r="B19" s="20"/>
      <c r="C19" s="51"/>
      <c r="D19" s="47"/>
      <c r="E19" s="42"/>
      <c r="F19" s="25"/>
      <c r="G19" s="23"/>
      <c r="H19" s="20"/>
      <c r="I19" s="47"/>
      <c r="J19" s="52"/>
      <c r="K19" s="19"/>
      <c r="L19" s="42"/>
      <c r="M19" s="25"/>
      <c r="N19" s="23"/>
      <c r="O19" s="23"/>
      <c r="P19" s="9"/>
      <c r="T19" s="6"/>
      <c r="U19" s="10"/>
    </row>
    <row r="20" spans="2:21" ht="12.75">
      <c r="B20" s="97" t="s">
        <v>19</v>
      </c>
      <c r="E20" s="42"/>
      <c r="F20" s="96" t="s">
        <v>17</v>
      </c>
      <c r="G20" s="23"/>
      <c r="H20" s="20"/>
      <c r="I20" s="47"/>
      <c r="J20" s="52"/>
      <c r="L20" s="42"/>
      <c r="M20" s="25"/>
      <c r="N20" s="96"/>
      <c r="O20" s="23"/>
      <c r="P20" s="9"/>
      <c r="T20" s="6"/>
      <c r="U20" s="10"/>
    </row>
    <row r="21" spans="2:21" ht="12.75">
      <c r="B21" s="20"/>
      <c r="C21" s="95" t="s">
        <v>18</v>
      </c>
      <c r="D21" s="95">
        <v>8</v>
      </c>
      <c r="E21" s="91">
        <v>10</v>
      </c>
      <c r="F21" s="91">
        <v>12</v>
      </c>
      <c r="G21" s="91">
        <v>14</v>
      </c>
      <c r="H21" s="91">
        <v>16</v>
      </c>
      <c r="I21" s="47"/>
      <c r="J21" s="95">
        <v>6.5</v>
      </c>
      <c r="K21" s="91">
        <v>9</v>
      </c>
      <c r="L21" s="91">
        <v>11.5</v>
      </c>
      <c r="M21" s="91">
        <v>14</v>
      </c>
      <c r="N21" s="91">
        <v>16.5</v>
      </c>
      <c r="P21" s="95"/>
      <c r="Q21" s="95">
        <v>8</v>
      </c>
      <c r="R21" s="91">
        <v>10</v>
      </c>
      <c r="S21" s="91">
        <v>12</v>
      </c>
      <c r="T21" s="91">
        <v>14</v>
      </c>
      <c r="U21" s="91">
        <v>16</v>
      </c>
    </row>
    <row r="22" spans="2:21" ht="12.75">
      <c r="B22" s="20"/>
      <c r="C22" s="55">
        <v>29</v>
      </c>
      <c r="D22" s="92">
        <v>2.233245265827094</v>
      </c>
      <c r="E22" s="98">
        <v>1.4919712172504707</v>
      </c>
      <c r="F22" s="99">
        <v>1.1183558888243823</v>
      </c>
      <c r="G22" s="98">
        <v>0.8808916214367152</v>
      </c>
      <c r="H22" s="100">
        <v>0.6953542663910458</v>
      </c>
      <c r="I22" s="47"/>
      <c r="J22" s="170">
        <v>3.0304768373583495</v>
      </c>
      <c r="K22" s="171">
        <v>1.8166509015199654</v>
      </c>
      <c r="L22" s="171">
        <v>1.1935695981981123</v>
      </c>
      <c r="M22" s="171">
        <v>0.8808916214367152</v>
      </c>
      <c r="N22" s="172">
        <v>0.6570835076830656</v>
      </c>
      <c r="P22" s="57" t="s">
        <v>2</v>
      </c>
      <c r="Q22" s="92">
        <f ca="1">FORECAST(FP,OFFSET(D$22:D$27,MATCH(FP,$C$22:$C$27,1)-1,0,2),OFFSET($C$22:$C$27,MATCH(FP,$C$22:$C$27,1)-1,0,2))</f>
        <v>2.59860632282639</v>
      </c>
      <c r="R22" s="112">
        <f ca="1">FORECAST(FP,OFFSET(E$22:E$27,MATCH(FP,$C$22:$C$27,1)-1,0,2),OFFSET($C$22:$C$27,MATCH(FP,$C$22:$C$27,1)-1,0,2))</f>
        <v>1.6907649761459804</v>
      </c>
      <c r="S22" s="112">
        <f ca="1">FORECAST(FP,OFFSET(F$22:F$27,MATCH(FP,$C$22:$C$27,1)-1,0,2),OFFSET($C$22:$C$27,MATCH(FP,$C$22:$C$27,1)-1,0,2))</f>
        <v>1.2454393771375847</v>
      </c>
      <c r="T22" s="112">
        <f ca="1">FORECAST(FP,OFFSET(G$22:G$27,MATCH(FP,$C$22:$C$27,1)-1,0,2),OFFSET($C$22:$C$27,MATCH(FP,$C$22:$C$27,1)-1,0,2))</f>
        <v>0.9765007793407071</v>
      </c>
      <c r="U22" s="113">
        <f ca="1">FORECAST(FP,OFFSET(H$22:H$27,MATCH(FP,$C$22:$C$27,1)-1,0,2),OFFSET($C$22:$C$27,MATCH(FP,$C$22:$C$27,1)-1,0,2))</f>
        <v>0.7858983470516979</v>
      </c>
    </row>
    <row r="23" spans="2:21" ht="12.75">
      <c r="B23" s="20"/>
      <c r="C23" s="55">
        <v>43.5</v>
      </c>
      <c r="D23" s="93">
        <v>2.5986063228263894</v>
      </c>
      <c r="E23" s="94">
        <v>1.6907649761459804</v>
      </c>
      <c r="F23" s="53">
        <v>1.2454393771375847</v>
      </c>
      <c r="G23" s="94">
        <v>0.9765007793407071</v>
      </c>
      <c r="H23" s="101">
        <v>0.7858983470516979</v>
      </c>
      <c r="I23" s="47"/>
      <c r="J23" s="173">
        <v>3.583013292246455</v>
      </c>
      <c r="K23" s="42">
        <v>2.086871181027183</v>
      </c>
      <c r="L23" s="42">
        <v>1.3335283530309359</v>
      </c>
      <c r="M23" s="42">
        <v>0.9765007793407071</v>
      </c>
      <c r="N23" s="174">
        <v>0.7504877648400501</v>
      </c>
      <c r="P23" s="78" t="s">
        <v>0</v>
      </c>
      <c r="Q23" s="109">
        <f>IF(FP&gt;$H$8,"ERROR",IF(FP&lt;$D$8,"ERROR",_xlfn.IFERROR(Q22,"N/A")))</f>
        <v>2.59860632282639</v>
      </c>
      <c r="R23" s="110">
        <f>IF(FP&gt;$H$8,"ERROR",IF(FP&lt;$D$8,"ERROR",_xlfn.IFERROR(R22,"N/A")))</f>
        <v>1.6907649761459804</v>
      </c>
      <c r="S23" s="110">
        <f>IF(FP&gt;$H$8,"ERROR",IF(FP&lt;$D$8,"ERROR",_xlfn.IFERROR(S22,"N/A")))</f>
        <v>1.2454393771375847</v>
      </c>
      <c r="T23" s="110">
        <f>IF(FP&gt;$H$8,"ERROR",IF(FP&lt;$D$8,"ERROR",_xlfn.IFERROR(T22,"N/A")))</f>
        <v>0.9765007793407071</v>
      </c>
      <c r="U23" s="111">
        <f>IF(FP&gt;$H$8,"ERROR",IF(FP&lt;$D$8,"ERROR",_xlfn.IFERROR(U22,"N/A")))</f>
        <v>0.7858983470516979</v>
      </c>
    </row>
    <row r="24" spans="2:21" ht="12.75">
      <c r="B24" s="20"/>
      <c r="C24" s="55">
        <v>58</v>
      </c>
      <c r="D24" s="93">
        <v>3.089620936184449</v>
      </c>
      <c r="E24" s="94">
        <v>1.8814314704997654</v>
      </c>
      <c r="F24" s="25">
        <v>1.4052748366348213</v>
      </c>
      <c r="G24" s="94">
        <v>1.0944332826284588</v>
      </c>
      <c r="H24" s="101">
        <v>0.8899037033487992</v>
      </c>
      <c r="I24" s="47"/>
      <c r="J24" s="173">
        <v>4.476159581329666</v>
      </c>
      <c r="K24" s="42">
        <v>2.3940220993646397</v>
      </c>
      <c r="L24" s="42">
        <v>1.4955332590527257</v>
      </c>
      <c r="M24" s="42">
        <v>1.0944332826284588</v>
      </c>
      <c r="N24" s="174">
        <v>0.8553825545799316</v>
      </c>
      <c r="O24" s="94"/>
      <c r="P24" s="94"/>
      <c r="Q24" s="9"/>
      <c r="R24" s="9"/>
      <c r="S24" s="9"/>
      <c r="T24" s="9"/>
      <c r="U24" s="9"/>
    </row>
    <row r="25" spans="2:21" ht="12.75">
      <c r="B25" s="20"/>
      <c r="C25" s="55">
        <v>70</v>
      </c>
      <c r="D25" s="93">
        <v>3.55</v>
      </c>
      <c r="E25" s="94">
        <v>2.05</v>
      </c>
      <c r="F25" s="25">
        <v>1.53</v>
      </c>
      <c r="G25" s="94">
        <v>1.125</v>
      </c>
      <c r="H25" s="101">
        <v>0.925</v>
      </c>
      <c r="I25" s="47"/>
      <c r="J25" s="173">
        <v>5.318125</v>
      </c>
      <c r="K25" s="42">
        <v>2.6774999999999993</v>
      </c>
      <c r="L25" s="42">
        <v>1.6289453125</v>
      </c>
      <c r="M25" s="42">
        <v>1.125</v>
      </c>
      <c r="N25" s="174">
        <v>0.90703125</v>
      </c>
      <c r="O25" s="94"/>
      <c r="P25" s="52" t="s">
        <v>46</v>
      </c>
      <c r="Q25" s="95">
        <v>6.5</v>
      </c>
      <c r="R25" s="91">
        <v>9</v>
      </c>
      <c r="S25" s="91">
        <v>11.5</v>
      </c>
      <c r="T25" s="91">
        <v>14</v>
      </c>
      <c r="U25" s="91">
        <v>16.5</v>
      </c>
    </row>
    <row r="26" spans="2:21" ht="12.75">
      <c r="B26" s="20"/>
      <c r="C26" s="55">
        <v>72.5</v>
      </c>
      <c r="D26" s="93" t="e">
        <v>#DIV/0!</v>
      </c>
      <c r="E26" s="94">
        <v>2.1603232834725743</v>
      </c>
      <c r="F26" s="94">
        <v>1.5500491945932757</v>
      </c>
      <c r="G26" s="94">
        <v>1.200081797409548</v>
      </c>
      <c r="H26" s="101">
        <v>0.9864876681553705</v>
      </c>
      <c r="I26" s="23"/>
      <c r="J26" s="173" t="e">
        <v>#VALUE!</v>
      </c>
      <c r="K26" s="42">
        <v>2.563075337298063</v>
      </c>
      <c r="L26" s="42">
        <v>1.6782139644666407</v>
      </c>
      <c r="M26" s="42">
        <v>1.200081797409548</v>
      </c>
      <c r="N26" s="174">
        <v>0.9543974589558183</v>
      </c>
      <c r="O26" s="94"/>
      <c r="P26" s="57" t="s">
        <v>2</v>
      </c>
      <c r="Q26" s="92">
        <f ca="1">FORECAST(FP,OFFSET(J$22:J$27,MATCH(FP,$C$22:$C$27,1)-1,0,2),OFFSET($C$22:$C$27,MATCH(FP,$C$22:$C$27,1)-1,0,2))</f>
        <v>3.5830132922464544</v>
      </c>
      <c r="R26" s="112">
        <f ca="1">FORECAST(FP,OFFSET(K$22:K$27,MATCH(FP,$C$22:$C$27,1)-1,0,2),OFFSET($C$22:$C$27,MATCH(FP,$C$22:$C$27,1)-1,0,2))</f>
        <v>2.086871181027183</v>
      </c>
      <c r="S26" s="112">
        <f ca="1">FORECAST(FP,OFFSET(L$22:L$27,MATCH(FP,$C$22:$C$27,1)-1,0,2),OFFSET($C$22:$C$27,MATCH(FP,$C$22:$C$27,1)-1,0,2))</f>
        <v>1.3335283530309359</v>
      </c>
      <c r="T26" s="112">
        <f ca="1">FORECAST(FP,OFFSET(M$22:M$27,MATCH(FP,$C$22:$C$27,1)-1,0,2),OFFSET($C$22:$C$27,MATCH(FP,$C$22:$C$27,1)-1,0,2))</f>
        <v>0.9765007793407071</v>
      </c>
      <c r="U26" s="113">
        <f ca="1">FORECAST(FP,OFFSET(N$22:N$27,MATCH(FP,$C$22:$C$27,1)-1,0,2),OFFSET($C$22:$C$27,MATCH(FP,$C$22:$C$27,1)-1,0,2))</f>
        <v>0.7504877648400501</v>
      </c>
    </row>
    <row r="27" spans="2:21" ht="12.75">
      <c r="B27" s="20"/>
      <c r="C27" s="56">
        <v>87.0001</v>
      </c>
      <c r="D27" s="102" t="e">
        <v>#DIV/0!</v>
      </c>
      <c r="E27" s="103">
        <v>2.568379794677265</v>
      </c>
      <c r="F27" s="103">
        <v>1.7201944277238261</v>
      </c>
      <c r="G27" s="103">
        <v>1.3272187986372326</v>
      </c>
      <c r="H27" s="104">
        <v>1.082154179662043</v>
      </c>
      <c r="I27" s="20"/>
      <c r="J27" s="175" t="e">
        <v>#VALUE!</v>
      </c>
      <c r="K27" s="176">
        <v>3.163176129854052</v>
      </c>
      <c r="L27" s="176">
        <v>1.8895648565371692</v>
      </c>
      <c r="M27" s="176">
        <v>1.3272187986372326</v>
      </c>
      <c r="N27" s="177">
        <v>1.0439991202481527</v>
      </c>
      <c r="O27" s="24"/>
      <c r="P27" s="78" t="s">
        <v>0</v>
      </c>
      <c r="Q27" s="109">
        <f>IF(FP&gt;$H$8,"ERROR",IF(FP&lt;$D$8,"ERROR",_xlfn.IFERROR(Q26,"N/A")))</f>
        <v>3.5830132922464544</v>
      </c>
      <c r="R27" s="110">
        <f>IF(FP&gt;$H$8,"ERROR",IF(FP&lt;$D$8,"ERROR",_xlfn.IFERROR(R26,"N/A")))</f>
        <v>2.086871181027183</v>
      </c>
      <c r="S27" s="110">
        <f>IF(FP&gt;$H$8,"ERROR",IF(FP&lt;$D$8,"ERROR",_xlfn.IFERROR(S26,"N/A")))</f>
        <v>1.3335283530309359</v>
      </c>
      <c r="T27" s="110">
        <f>IF(FP&gt;$H$8,"ERROR",IF(FP&lt;$D$8,"ERROR",_xlfn.IFERROR(T26,"N/A")))</f>
        <v>0.9765007793407071</v>
      </c>
      <c r="U27" s="111">
        <f>IF(FP&gt;$H$8,"ERROR",IF(FP&lt;$D$8,"ERROR",_xlfn.IFERROR(U26,"N/A")))</f>
        <v>0.7504877648400501</v>
      </c>
    </row>
    <row r="28" spans="2:21" ht="12.75">
      <c r="B28" s="20"/>
      <c r="C28" s="20"/>
      <c r="D28" s="20"/>
      <c r="E28" s="23"/>
      <c r="F28" s="23"/>
      <c r="G28" s="23"/>
      <c r="H28" s="23"/>
      <c r="I28" s="23"/>
      <c r="J28" s="23"/>
      <c r="K28" s="23"/>
      <c r="L28" s="42"/>
      <c r="M28" s="25"/>
      <c r="N28" s="23"/>
      <c r="O28" s="24"/>
      <c r="P28" s="9"/>
      <c r="Q28" s="9"/>
      <c r="R28" s="9"/>
      <c r="S28" s="9"/>
      <c r="T28" s="9"/>
      <c r="U28" s="7"/>
    </row>
    <row r="29" spans="2:21" ht="12.75">
      <c r="B29" s="44" t="s">
        <v>21</v>
      </c>
      <c r="C29" s="54"/>
      <c r="D29" s="45" t="s">
        <v>36</v>
      </c>
      <c r="F29" s="45" t="s">
        <v>37</v>
      </c>
      <c r="H29" s="44" t="s">
        <v>25</v>
      </c>
      <c r="I29" s="20"/>
      <c r="J29" s="20"/>
      <c r="N29" s="23"/>
      <c r="O29" s="23"/>
      <c r="P29" s="7"/>
      <c r="Q29" s="7"/>
      <c r="R29" s="7"/>
      <c r="S29" s="7"/>
      <c r="T29" s="7"/>
      <c r="U29" s="7"/>
    </row>
    <row r="30" spans="2:12" ht="12.75">
      <c r="B30" s="44"/>
      <c r="C30" s="105" t="s">
        <v>23</v>
      </c>
      <c r="D30" s="106">
        <v>0.724</v>
      </c>
      <c r="E30" s="120">
        <v>0</v>
      </c>
      <c r="F30" s="122">
        <f>TREND(D30:D31,E30:E31,ETH,TRUE)</f>
        <v>0.724</v>
      </c>
      <c r="H30" s="27">
        <f>14.64-ETH*0.0563</f>
        <v>14.077</v>
      </c>
      <c r="I30" s="20"/>
      <c r="J30" s="20"/>
      <c r="K30" s="57" t="s">
        <v>2</v>
      </c>
      <c r="L30" s="78" t="s">
        <v>0</v>
      </c>
    </row>
    <row r="31" spans="2:12" ht="14.25">
      <c r="B31" s="44"/>
      <c r="C31" s="105" t="s">
        <v>22</v>
      </c>
      <c r="D31" s="107">
        <v>0.724</v>
      </c>
      <c r="E31" s="121">
        <v>100</v>
      </c>
      <c r="F31" s="20"/>
      <c r="G31" s="20"/>
      <c r="H31" s="20"/>
      <c r="I31" s="26"/>
      <c r="J31" s="20"/>
      <c r="K31" s="134">
        <f ca="1">FORECAST(FP,OFFSET(I34:I38,MATCH(FP,G34:G38,1)-1,0,2),OFFSET(G34:G38,MATCH(FP,G34:G38,1)-1,0,2))</f>
        <v>2840.7236697733556</v>
      </c>
      <c r="L31" s="133">
        <f>_xlfn.IFERROR(K31,"ERROR")</f>
        <v>2840.7236697733556</v>
      </c>
    </row>
    <row r="32" spans="2:10" ht="12.75">
      <c r="B32" s="44"/>
      <c r="D32" s="20"/>
      <c r="E32" s="20"/>
      <c r="F32" s="20"/>
      <c r="G32" s="128" t="s">
        <v>18</v>
      </c>
      <c r="H32" s="128" t="s">
        <v>31</v>
      </c>
      <c r="I32" s="128" t="s">
        <v>32</v>
      </c>
      <c r="J32" s="20"/>
    </row>
    <row r="33" spans="2:9" ht="12.75">
      <c r="B33" s="90" t="s">
        <v>26</v>
      </c>
      <c r="C33"/>
      <c r="D33"/>
      <c r="E33" s="115">
        <v>0.5</v>
      </c>
      <c r="F33"/>
      <c r="G33" s="128" t="s">
        <v>33</v>
      </c>
      <c r="H33" s="128" t="s">
        <v>34</v>
      </c>
      <c r="I33" s="128" t="s">
        <v>35</v>
      </c>
    </row>
    <row r="34" spans="2:9" ht="15">
      <c r="B34" s="129" t="s">
        <v>29</v>
      </c>
      <c r="C34" s="114"/>
      <c r="D34" s="114"/>
      <c r="E34" s="116">
        <v>1036</v>
      </c>
      <c r="F34"/>
      <c r="G34" s="123">
        <v>29</v>
      </c>
      <c r="H34" s="125">
        <v>841.9</v>
      </c>
      <c r="I34" s="130">
        <f>$E$36/((H34*$F$30)/60000000)</f>
        <v>3496.3271963643556</v>
      </c>
    </row>
    <row r="35" spans="2:9" ht="15">
      <c r="B35"/>
      <c r="C35"/>
      <c r="D35"/>
      <c r="F35"/>
      <c r="G35" s="124">
        <v>43.5</v>
      </c>
      <c r="H35" s="126">
        <v>1036.2</v>
      </c>
      <c r="I35" s="131">
        <f>$E$36/((H35*$F$30)/60000000)</f>
        <v>2840.7236697733556</v>
      </c>
    </row>
    <row r="36" spans="2:10" ht="15">
      <c r="B36" s="90" t="s">
        <v>27</v>
      </c>
      <c r="C36"/>
      <c r="D36"/>
      <c r="E36" s="117">
        <f>E33/H30</f>
        <v>0.035518931590537754</v>
      </c>
      <c r="F36"/>
      <c r="G36" s="124">
        <v>58</v>
      </c>
      <c r="H36" s="126">
        <v>1201.4</v>
      </c>
      <c r="I36" s="131">
        <f>$E$36/((H36*$F$30)/60000000)</f>
        <v>2450.106431346055</v>
      </c>
      <c r="J36"/>
    </row>
    <row r="37" spans="2:9" ht="15">
      <c r="B37" s="90" t="s">
        <v>28</v>
      </c>
      <c r="C37"/>
      <c r="D37"/>
      <c r="E37" s="118">
        <f>(E34*F30)/60000000</f>
        <v>1.2501066666666666E-05</v>
      </c>
      <c r="G37" s="124">
        <v>72.5</v>
      </c>
      <c r="H37" s="126">
        <v>1336.7</v>
      </c>
      <c r="I37" s="131">
        <f>$E$36/((H37*$F$30)/60000000)</f>
        <v>2202.1080770697617</v>
      </c>
    </row>
    <row r="38" spans="2:9" ht="15">
      <c r="B38" s="129" t="s">
        <v>30</v>
      </c>
      <c r="C38" s="114"/>
      <c r="D38" s="114"/>
      <c r="E38" s="119">
        <f>E36/E37</f>
        <v>2841.2720720262078</v>
      </c>
      <c r="G38" s="135">
        <v>87.001</v>
      </c>
      <c r="H38" s="127">
        <v>1459.9</v>
      </c>
      <c r="I38" s="132">
        <f>$E$36/((H38*$F$30)/60000000)</f>
        <v>2016.273626014899</v>
      </c>
    </row>
    <row r="50" spans="7:9" ht="12.75">
      <c r="G50" s="7"/>
      <c r="H50" s="7"/>
      <c r="I50" s="7"/>
    </row>
  </sheetData>
  <sheetProtection password="C787" sheet="1" selectLockedCells="1" selectUnlockedCells="1"/>
  <printOptions/>
  <pageMargins left="0.7" right="0.7" top="0.75" bottom="0.75" header="0.3" footer="0.3"/>
  <pageSetup orientation="portrait" paperSize="9"/>
  <ignoredErrors>
    <ignoredError sqref="L10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2014-08-12T23:11:04Z</dcterms:modified>
  <cp:category/>
  <cp:version/>
  <cp:contentType/>
  <cp:contentStatus/>
</cp:coreProperties>
</file>